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yroper/Downloads/"/>
    </mc:Choice>
  </mc:AlternateContent>
  <xr:revisionPtr revIDLastSave="0" documentId="8_{A3018A45-1751-0945-92A9-D3053385033F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ummary" sheetId="3" r:id="rId1"/>
    <sheet name="FY25 Budget" sheetId="1" r:id="rId2"/>
    <sheet name="Payroll" sheetId="2" r:id="rId3"/>
  </sheets>
  <definedNames>
    <definedName name="_xlnm.Print_Area" localSheetId="2">Payroll!$A$1:$R$49</definedName>
    <definedName name="_xlnm.Print_Area" localSheetId="0">Summary!$A$1:$D$47,Summary!$H$13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2" l="1"/>
  <c r="Q49" i="2" s="1"/>
  <c r="N34" i="1"/>
  <c r="N28" i="1"/>
  <c r="N27" i="1"/>
  <c r="C34" i="1"/>
  <c r="D34" i="1"/>
  <c r="E34" i="1"/>
  <c r="F34" i="1"/>
  <c r="G34" i="1"/>
  <c r="H34" i="1"/>
  <c r="I34" i="1"/>
  <c r="J34" i="1"/>
  <c r="K34" i="1"/>
  <c r="L34" i="1"/>
  <c r="M34" i="1"/>
  <c r="B34" i="1"/>
  <c r="M27" i="1"/>
  <c r="L27" i="1"/>
  <c r="I27" i="1"/>
  <c r="H27" i="1"/>
  <c r="G27" i="1"/>
  <c r="F27" i="1"/>
  <c r="E27" i="1"/>
  <c r="D27" i="1"/>
  <c r="C27" i="1"/>
  <c r="B27" i="1"/>
  <c r="B7" i="2"/>
  <c r="Q47" i="2"/>
  <c r="Q46" i="2"/>
  <c r="B8" i="2"/>
  <c r="D44" i="3" l="1"/>
  <c r="D180" i="1" l="1"/>
  <c r="E180" i="1"/>
  <c r="H180" i="1"/>
  <c r="I180" i="1"/>
  <c r="J180" i="1"/>
  <c r="B180" i="1"/>
  <c r="M150" i="1"/>
  <c r="L150" i="1"/>
  <c r="K150" i="1"/>
  <c r="H150" i="1"/>
  <c r="N150" i="1" l="1"/>
  <c r="N101" i="1"/>
  <c r="C38" i="1"/>
  <c r="D38" i="1"/>
  <c r="E38" i="1"/>
  <c r="F38" i="1"/>
  <c r="G38" i="1"/>
  <c r="H38" i="1"/>
  <c r="I38" i="1"/>
  <c r="J38" i="1"/>
  <c r="K38" i="1"/>
  <c r="L38" i="1"/>
  <c r="M38" i="1"/>
  <c r="B38" i="1"/>
  <c r="N73" i="1" l="1"/>
  <c r="B153" i="1"/>
  <c r="C153" i="1"/>
  <c r="D153" i="1"/>
  <c r="E153" i="1"/>
  <c r="F153" i="1"/>
  <c r="G153" i="1"/>
  <c r="H153" i="1"/>
  <c r="I153" i="1"/>
  <c r="J153" i="1"/>
  <c r="K153" i="1"/>
  <c r="L153" i="1"/>
  <c r="M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14" i="1"/>
  <c r="C167" i="1"/>
  <c r="E167" i="1"/>
  <c r="F167" i="1"/>
  <c r="G167" i="1"/>
  <c r="K167" i="1"/>
  <c r="L167" i="1"/>
  <c r="M167" i="1"/>
  <c r="C168" i="1"/>
  <c r="E168" i="1"/>
  <c r="F168" i="1"/>
  <c r="G168" i="1"/>
  <c r="K168" i="1"/>
  <c r="L168" i="1"/>
  <c r="M168" i="1"/>
  <c r="C169" i="1"/>
  <c r="E169" i="1"/>
  <c r="F169" i="1"/>
  <c r="G169" i="1"/>
  <c r="K169" i="1"/>
  <c r="L169" i="1"/>
  <c r="M169" i="1"/>
  <c r="C170" i="1"/>
  <c r="E170" i="1"/>
  <c r="F170" i="1"/>
  <c r="G170" i="1"/>
  <c r="K170" i="1"/>
  <c r="L170" i="1"/>
  <c r="M170" i="1"/>
  <c r="C179" i="1"/>
  <c r="C180" i="1" s="1"/>
  <c r="F179" i="1"/>
  <c r="F180" i="1" s="1"/>
  <c r="G179" i="1"/>
  <c r="G180" i="1" s="1"/>
  <c r="K179" i="1"/>
  <c r="K180" i="1" s="1"/>
  <c r="L179" i="1"/>
  <c r="L180" i="1" s="1"/>
  <c r="M179" i="1"/>
  <c r="M180" i="1" s="1"/>
  <c r="G163" i="1"/>
  <c r="B163" i="1"/>
  <c r="K125" i="1"/>
  <c r="I125" i="1"/>
  <c r="D125" i="1"/>
  <c r="C125" i="1"/>
  <c r="B125" i="1"/>
  <c r="G80" i="1"/>
  <c r="XFD103" i="1"/>
  <c r="D108" i="1"/>
  <c r="B70" i="1"/>
  <c r="D24" i="2"/>
  <c r="E24" i="2"/>
  <c r="F24" i="2"/>
  <c r="G24" i="2"/>
  <c r="H24" i="2"/>
  <c r="I24" i="2"/>
  <c r="X23" i="2"/>
  <c r="W23" i="2"/>
  <c r="Y23" i="2" s="1"/>
  <c r="Z23" i="2" s="1"/>
  <c r="C17" i="2"/>
  <c r="L17" i="2" s="1"/>
  <c r="F108" i="1"/>
  <c r="E108" i="1"/>
  <c r="C108" i="1"/>
  <c r="L43" i="1"/>
  <c r="F43" i="1"/>
  <c r="C24" i="1"/>
  <c r="G17" i="1"/>
  <c r="M72" i="1"/>
  <c r="L72" i="1"/>
  <c r="K72" i="1"/>
  <c r="K70" i="1"/>
  <c r="L70" i="1"/>
  <c r="M70" i="1"/>
  <c r="F36" i="2"/>
  <c r="C16" i="2"/>
  <c r="C15" i="2"/>
  <c r="N154" i="1" l="1"/>
  <c r="N153" i="1"/>
  <c r="N169" i="1"/>
  <c r="N168" i="1"/>
  <c r="N167" i="1"/>
  <c r="N170" i="1"/>
  <c r="N179" i="1"/>
  <c r="N180" i="1" s="1"/>
  <c r="J17" i="2"/>
  <c r="O17" i="2"/>
  <c r="K17" i="2"/>
  <c r="N17" i="2"/>
  <c r="M17" i="2"/>
  <c r="C63" i="1"/>
  <c r="D63" i="1"/>
  <c r="E63" i="1"/>
  <c r="F63" i="1"/>
  <c r="G63" i="1"/>
  <c r="B63" i="1"/>
  <c r="Q24" i="2" l="1"/>
  <c r="A67" i="2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O41" i="2"/>
  <c r="N41" i="2"/>
  <c r="M41" i="2"/>
  <c r="L41" i="2"/>
  <c r="K41" i="2"/>
  <c r="J41" i="2"/>
  <c r="I41" i="2"/>
  <c r="H41" i="2"/>
  <c r="D40" i="2"/>
  <c r="Q38" i="2"/>
  <c r="O36" i="2"/>
  <c r="N36" i="2"/>
  <c r="M36" i="2"/>
  <c r="L36" i="2"/>
  <c r="K36" i="2"/>
  <c r="J36" i="2"/>
  <c r="I36" i="2"/>
  <c r="E35" i="2"/>
  <c r="D35" i="2"/>
  <c r="U31" i="2"/>
  <c r="V30" i="2" s="1"/>
  <c r="W30" i="2" s="1"/>
  <c r="I30" i="2"/>
  <c r="H30" i="2"/>
  <c r="G30" i="2"/>
  <c r="F30" i="2"/>
  <c r="E30" i="2"/>
  <c r="D30" i="2"/>
  <c r="I17" i="2"/>
  <c r="H17" i="2"/>
  <c r="G17" i="2"/>
  <c r="F17" i="2"/>
  <c r="E17" i="2"/>
  <c r="D17" i="2"/>
  <c r="Q17" i="2" s="1"/>
  <c r="E16" i="2"/>
  <c r="D16" i="2"/>
  <c r="E15" i="2"/>
  <c r="D15" i="2"/>
  <c r="W10" i="2"/>
  <c r="W12" i="2" s="1"/>
  <c r="X11" i="2" s="1"/>
  <c r="O9" i="2"/>
  <c r="O24" i="2" s="1"/>
  <c r="N9" i="2"/>
  <c r="N24" i="2" s="1"/>
  <c r="M9" i="2"/>
  <c r="M24" i="2" s="1"/>
  <c r="L9" i="2"/>
  <c r="L24" i="2" s="1"/>
  <c r="K9" i="2"/>
  <c r="K24" i="2" s="1"/>
  <c r="J9" i="2"/>
  <c r="J24" i="2" s="1"/>
  <c r="O8" i="2"/>
  <c r="O23" i="2" s="1"/>
  <c r="N8" i="2"/>
  <c r="M8" i="2"/>
  <c r="M23" i="2" s="1"/>
  <c r="L8" i="2"/>
  <c r="L23" i="2" s="1"/>
  <c r="K8" i="2"/>
  <c r="J8" i="2"/>
  <c r="I8" i="2"/>
  <c r="I23" i="2" s="1"/>
  <c r="H8" i="2"/>
  <c r="H23" i="2" s="1"/>
  <c r="G8" i="2"/>
  <c r="F8" i="2"/>
  <c r="E8" i="2"/>
  <c r="D8" i="2"/>
  <c r="O7" i="2"/>
  <c r="N7" i="2"/>
  <c r="M7" i="2"/>
  <c r="M22" i="2" s="1"/>
  <c r="L7" i="2"/>
  <c r="L22" i="2" s="1"/>
  <c r="K7" i="2"/>
  <c r="K22" i="2" s="1"/>
  <c r="J7" i="2"/>
  <c r="J22" i="2" s="1"/>
  <c r="I7" i="2"/>
  <c r="I22" i="2" s="1"/>
  <c r="H7" i="2"/>
  <c r="H22" i="2" s="1"/>
  <c r="H26" i="2" s="1"/>
  <c r="F65" i="1" s="1"/>
  <c r="G7" i="2"/>
  <c r="G22" i="2" s="1"/>
  <c r="F7" i="2"/>
  <c r="F22" i="2" s="1"/>
  <c r="E7" i="2"/>
  <c r="E22" i="2" s="1"/>
  <c r="D7" i="2"/>
  <c r="B61" i="1" l="1"/>
  <c r="D22" i="2"/>
  <c r="I26" i="2"/>
  <c r="G65" i="1" s="1"/>
  <c r="L26" i="2"/>
  <c r="J65" i="1" s="1"/>
  <c r="M26" i="2"/>
  <c r="K65" i="1" s="1"/>
  <c r="L61" i="1"/>
  <c r="N22" i="2"/>
  <c r="M61" i="1"/>
  <c r="O22" i="2"/>
  <c r="O26" i="2" s="1"/>
  <c r="M65" i="1" s="1"/>
  <c r="I62" i="1"/>
  <c r="K23" i="2"/>
  <c r="K26" i="2" s="1"/>
  <c r="I65" i="1" s="1"/>
  <c r="L62" i="1"/>
  <c r="N23" i="2"/>
  <c r="B62" i="1"/>
  <c r="D23" i="2"/>
  <c r="C62" i="1"/>
  <c r="E23" i="2"/>
  <c r="E26" i="2" s="1"/>
  <c r="C65" i="1" s="1"/>
  <c r="D62" i="1"/>
  <c r="F23" i="2"/>
  <c r="F26" i="2" s="1"/>
  <c r="D65" i="1" s="1"/>
  <c r="E62" i="1"/>
  <c r="G23" i="2"/>
  <c r="G26" i="2" s="1"/>
  <c r="E65" i="1" s="1"/>
  <c r="H62" i="1"/>
  <c r="J23" i="2"/>
  <c r="J26" i="2" s="1"/>
  <c r="H65" i="1" s="1"/>
  <c r="N29" i="2"/>
  <c r="J30" i="2"/>
  <c r="H63" i="1"/>
  <c r="K30" i="2"/>
  <c r="I63" i="1"/>
  <c r="F11" i="2"/>
  <c r="D61" i="1"/>
  <c r="G28" i="2"/>
  <c r="E61" i="1"/>
  <c r="M30" i="2"/>
  <c r="K63" i="1"/>
  <c r="H28" i="2"/>
  <c r="F61" i="1"/>
  <c r="H29" i="2"/>
  <c r="F62" i="1"/>
  <c r="N30" i="2"/>
  <c r="L63" i="1"/>
  <c r="I29" i="2"/>
  <c r="G62" i="1"/>
  <c r="O30" i="2"/>
  <c r="M63" i="1"/>
  <c r="J28" i="2"/>
  <c r="H61" i="1"/>
  <c r="K11" i="2"/>
  <c r="I61" i="1"/>
  <c r="J29" i="2"/>
  <c r="L11" i="2"/>
  <c r="J61" i="1"/>
  <c r="L29" i="2"/>
  <c r="J62" i="1"/>
  <c r="M29" i="2"/>
  <c r="K62" i="1"/>
  <c r="E11" i="2"/>
  <c r="C61" i="1"/>
  <c r="L30" i="2"/>
  <c r="Q30" i="2" s="1"/>
  <c r="J63" i="1"/>
  <c r="I28" i="2"/>
  <c r="G61" i="1"/>
  <c r="K29" i="2"/>
  <c r="M11" i="2"/>
  <c r="K61" i="1"/>
  <c r="O29" i="2"/>
  <c r="M62" i="1"/>
  <c r="E19" i="2"/>
  <c r="C64" i="1" s="1"/>
  <c r="N11" i="2"/>
  <c r="Q35" i="2"/>
  <c r="O11" i="2"/>
  <c r="G36" i="2"/>
  <c r="Q9" i="2"/>
  <c r="G41" i="2"/>
  <c r="H36" i="2"/>
  <c r="F41" i="2"/>
  <c r="O28" i="2"/>
  <c r="Q7" i="2"/>
  <c r="M28" i="2"/>
  <c r="K28" i="2"/>
  <c r="N28" i="2"/>
  <c r="D11" i="2"/>
  <c r="G11" i="2"/>
  <c r="D33" i="2"/>
  <c r="Q33" i="2" s="1"/>
  <c r="E33" i="2"/>
  <c r="L28" i="2"/>
  <c r="X16" i="2"/>
  <c r="W16" i="2"/>
  <c r="D19" i="2"/>
  <c r="B64" i="1" s="1"/>
  <c r="D28" i="2"/>
  <c r="E28" i="2"/>
  <c r="D29" i="2"/>
  <c r="D34" i="2"/>
  <c r="F28" i="2"/>
  <c r="E29" i="2"/>
  <c r="V29" i="2"/>
  <c r="W29" i="2" s="1"/>
  <c r="W31" i="2" s="1"/>
  <c r="E34" i="2"/>
  <c r="I11" i="2"/>
  <c r="Q8" i="2"/>
  <c r="X10" i="2"/>
  <c r="F29" i="2"/>
  <c r="D39" i="2"/>
  <c r="H11" i="2"/>
  <c r="J11" i="2"/>
  <c r="G29" i="2"/>
  <c r="E41" i="2"/>
  <c r="Q22" i="2" l="1"/>
  <c r="I31" i="2"/>
  <c r="I43" i="2" s="1"/>
  <c r="G66" i="1" s="1"/>
  <c r="E36" i="2"/>
  <c r="N26" i="2"/>
  <c r="L65" i="1" s="1"/>
  <c r="D26" i="2"/>
  <c r="B65" i="1" s="1"/>
  <c r="Q23" i="2"/>
  <c r="H31" i="2"/>
  <c r="H43" i="2" s="1"/>
  <c r="F66" i="1" s="1"/>
  <c r="K31" i="2"/>
  <c r="K43" i="2" s="1"/>
  <c r="I66" i="1" s="1"/>
  <c r="N31" i="2"/>
  <c r="N43" i="2" s="1"/>
  <c r="L66" i="1" s="1"/>
  <c r="J31" i="2"/>
  <c r="J43" i="2" s="1"/>
  <c r="H66" i="1" s="1"/>
  <c r="X22" i="2"/>
  <c r="W22" i="2"/>
  <c r="Y22" i="2" s="1"/>
  <c r="M31" i="2"/>
  <c r="M43" i="2" s="1"/>
  <c r="K66" i="1" s="1"/>
  <c r="O31" i="2"/>
  <c r="O43" i="2" s="1"/>
  <c r="M66" i="1" s="1"/>
  <c r="G31" i="2"/>
  <c r="G43" i="2" s="1"/>
  <c r="E66" i="1" s="1"/>
  <c r="Q34" i="2"/>
  <c r="Q36" i="2" s="1"/>
  <c r="L31" i="2"/>
  <c r="L43" i="2" s="1"/>
  <c r="J66" i="1" s="1"/>
  <c r="Q40" i="2"/>
  <c r="Q11" i="2"/>
  <c r="F31" i="2"/>
  <c r="F43" i="2" s="1"/>
  <c r="D66" i="1" s="1"/>
  <c r="E31" i="2"/>
  <c r="X15" i="2"/>
  <c r="W15" i="2"/>
  <c r="Y15" i="2" s="1"/>
  <c r="Q29" i="2"/>
  <c r="D36" i="2"/>
  <c r="Q39" i="2"/>
  <c r="D41" i="2"/>
  <c r="D31" i="2"/>
  <c r="Q28" i="2"/>
  <c r="Y16" i="2"/>
  <c r="Z16" i="2" s="1"/>
  <c r="N65" i="1" l="1"/>
  <c r="Q26" i="2"/>
  <c r="Y24" i="2"/>
  <c r="Y25" i="2" s="1"/>
  <c r="Z22" i="2"/>
  <c r="Q31" i="2"/>
  <c r="Q41" i="2"/>
  <c r="D43" i="2"/>
  <c r="B66" i="1" s="1"/>
  <c r="B67" i="1" s="1"/>
  <c r="E43" i="2"/>
  <c r="C66" i="1" s="1"/>
  <c r="C67" i="1" s="1"/>
  <c r="Y17" i="2"/>
  <c r="Y18" i="2" s="1"/>
  <c r="Z15" i="2"/>
  <c r="H16" i="2"/>
  <c r="G16" i="2"/>
  <c r="L16" i="2"/>
  <c r="F16" i="2"/>
  <c r="I16" i="2"/>
  <c r="O16" i="2"/>
  <c r="J16" i="2"/>
  <c r="N16" i="2"/>
  <c r="M16" i="2"/>
  <c r="K16" i="2"/>
  <c r="Q43" i="2" l="1"/>
  <c r="N15" i="2"/>
  <c r="N19" i="2" s="1"/>
  <c r="L64" i="1" s="1"/>
  <c r="L67" i="1" s="1"/>
  <c r="F15" i="2"/>
  <c r="M15" i="2"/>
  <c r="M19" i="2" s="1"/>
  <c r="K64" i="1" s="1"/>
  <c r="K67" i="1" s="1"/>
  <c r="L15" i="2"/>
  <c r="L19" i="2" s="1"/>
  <c r="J64" i="1" s="1"/>
  <c r="J67" i="1" s="1"/>
  <c r="K15" i="2"/>
  <c r="K19" i="2" s="1"/>
  <c r="I64" i="1" s="1"/>
  <c r="I67" i="1" s="1"/>
  <c r="J15" i="2"/>
  <c r="J19" i="2" s="1"/>
  <c r="H64" i="1" s="1"/>
  <c r="H67" i="1" s="1"/>
  <c r="I15" i="2"/>
  <c r="I19" i="2" s="1"/>
  <c r="G64" i="1" s="1"/>
  <c r="G67" i="1" s="1"/>
  <c r="H15" i="2"/>
  <c r="H19" i="2" s="1"/>
  <c r="F64" i="1" s="1"/>
  <c r="F67" i="1" s="1"/>
  <c r="G15" i="2"/>
  <c r="G19" i="2" s="1"/>
  <c r="E64" i="1" s="1"/>
  <c r="E67" i="1" s="1"/>
  <c r="O15" i="2"/>
  <c r="O19" i="2" s="1"/>
  <c r="M64" i="1" s="1"/>
  <c r="M67" i="1" s="1"/>
  <c r="Q16" i="2"/>
  <c r="F19" i="2" l="1"/>
  <c r="D64" i="1" s="1"/>
  <c r="D67" i="1" s="1"/>
  <c r="Q15" i="2"/>
  <c r="Q19" i="2" l="1"/>
  <c r="B22" i="1" l="1"/>
  <c r="C22" i="1"/>
  <c r="D22" i="1"/>
  <c r="E22" i="1"/>
  <c r="F22" i="1"/>
  <c r="G22" i="1"/>
  <c r="H22" i="1"/>
  <c r="I22" i="1"/>
  <c r="J22" i="1"/>
  <c r="K22" i="1"/>
  <c r="L22" i="1"/>
  <c r="M22" i="1"/>
  <c r="B23" i="1"/>
  <c r="C23" i="1"/>
  <c r="D23" i="1"/>
  <c r="E23" i="1"/>
  <c r="F23" i="1"/>
  <c r="G23" i="1"/>
  <c r="H23" i="1"/>
  <c r="I23" i="1"/>
  <c r="J23" i="1"/>
  <c r="K23" i="1"/>
  <c r="L23" i="1"/>
  <c r="M23" i="1"/>
  <c r="M164" i="1"/>
  <c r="L164" i="1"/>
  <c r="K164" i="1"/>
  <c r="J164" i="1"/>
  <c r="I164" i="1"/>
  <c r="H164" i="1"/>
  <c r="G164" i="1"/>
  <c r="F164" i="1"/>
  <c r="E164" i="1"/>
  <c r="B164" i="1"/>
  <c r="M163" i="1"/>
  <c r="L163" i="1"/>
  <c r="I163" i="1"/>
  <c r="M162" i="1"/>
  <c r="L162" i="1"/>
  <c r="K162" i="1"/>
  <c r="J162" i="1"/>
  <c r="I162" i="1"/>
  <c r="H162" i="1"/>
  <c r="G162" i="1"/>
  <c r="F162" i="1"/>
  <c r="D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37" i="1"/>
  <c r="M138" i="1" s="1"/>
  <c r="L137" i="1"/>
  <c r="L138" i="1" s="1"/>
  <c r="K137" i="1"/>
  <c r="K138" i="1" s="1"/>
  <c r="J137" i="1"/>
  <c r="J138" i="1" s="1"/>
  <c r="I137" i="1"/>
  <c r="I138" i="1" s="1"/>
  <c r="H137" i="1"/>
  <c r="H138" i="1" s="1"/>
  <c r="G137" i="1"/>
  <c r="G138" i="1" s="1"/>
  <c r="F137" i="1"/>
  <c r="F138" i="1" s="1"/>
  <c r="E137" i="1"/>
  <c r="E138" i="1" s="1"/>
  <c r="D137" i="1"/>
  <c r="D138" i="1" s="1"/>
  <c r="C137" i="1"/>
  <c r="C138" i="1" s="1"/>
  <c r="B137" i="1"/>
  <c r="B138" i="1" s="1"/>
  <c r="N136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3" i="1"/>
  <c r="L133" i="1"/>
  <c r="K133" i="1"/>
  <c r="J133" i="1"/>
  <c r="I133" i="1"/>
  <c r="H133" i="1"/>
  <c r="G133" i="1"/>
  <c r="G135" i="1" s="1"/>
  <c r="F133" i="1"/>
  <c r="E133" i="1"/>
  <c r="D133" i="1"/>
  <c r="C133" i="1"/>
  <c r="B133" i="1"/>
  <c r="N132" i="1"/>
  <c r="N131" i="1"/>
  <c r="M129" i="1"/>
  <c r="M130" i="1" s="1"/>
  <c r="L129" i="1"/>
  <c r="L130" i="1" s="1"/>
  <c r="K129" i="1"/>
  <c r="K130" i="1" s="1"/>
  <c r="J129" i="1"/>
  <c r="J130" i="1" s="1"/>
  <c r="I129" i="1"/>
  <c r="I130" i="1" s="1"/>
  <c r="H129" i="1"/>
  <c r="H130" i="1" s="1"/>
  <c r="G129" i="1"/>
  <c r="G130" i="1" s="1"/>
  <c r="F129" i="1"/>
  <c r="F130" i="1" s="1"/>
  <c r="E129" i="1"/>
  <c r="E130" i="1" s="1"/>
  <c r="D129" i="1"/>
  <c r="D130" i="1" s="1"/>
  <c r="C129" i="1"/>
  <c r="C130" i="1" s="1"/>
  <c r="B129" i="1"/>
  <c r="B130" i="1" s="1"/>
  <c r="N128" i="1"/>
  <c r="N127" i="1"/>
  <c r="J125" i="1"/>
  <c r="H125" i="1"/>
  <c r="G125" i="1"/>
  <c r="F125" i="1"/>
  <c r="E125" i="1"/>
  <c r="M124" i="1"/>
  <c r="J124" i="1"/>
  <c r="I124" i="1"/>
  <c r="H124" i="1"/>
  <c r="G124" i="1"/>
  <c r="F124" i="1"/>
  <c r="E124" i="1"/>
  <c r="D124" i="1"/>
  <c r="C124" i="1"/>
  <c r="B124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D121" i="1"/>
  <c r="C121" i="1"/>
  <c r="B121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J116" i="1"/>
  <c r="I116" i="1"/>
  <c r="H116" i="1"/>
  <c r="G116" i="1"/>
  <c r="F116" i="1"/>
  <c r="E116" i="1"/>
  <c r="D116" i="1"/>
  <c r="C116" i="1"/>
  <c r="B116" i="1"/>
  <c r="J115" i="1"/>
  <c r="I115" i="1"/>
  <c r="H115" i="1"/>
  <c r="G115" i="1"/>
  <c r="F115" i="1"/>
  <c r="E115" i="1"/>
  <c r="D115" i="1"/>
  <c r="C115" i="1"/>
  <c r="B115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09" i="1"/>
  <c r="L109" i="1"/>
  <c r="K109" i="1"/>
  <c r="K110" i="1" s="1"/>
  <c r="J109" i="1"/>
  <c r="I109" i="1"/>
  <c r="H109" i="1"/>
  <c r="G109" i="1"/>
  <c r="F109" i="1"/>
  <c r="E109" i="1"/>
  <c r="D109" i="1"/>
  <c r="C109" i="1"/>
  <c r="B109" i="1"/>
  <c r="J108" i="1"/>
  <c r="I108" i="1"/>
  <c r="H108" i="1"/>
  <c r="G108" i="1"/>
  <c r="B108" i="1"/>
  <c r="M102" i="1"/>
  <c r="L102" i="1"/>
  <c r="K102" i="1"/>
  <c r="J102" i="1"/>
  <c r="J104" i="1" s="1"/>
  <c r="I102" i="1"/>
  <c r="I104" i="1" s="1"/>
  <c r="H102" i="1"/>
  <c r="G102" i="1"/>
  <c r="F102" i="1"/>
  <c r="F104" i="1" s="1"/>
  <c r="E102" i="1"/>
  <c r="E104" i="1" s="1"/>
  <c r="D102" i="1"/>
  <c r="D104" i="1" s="1"/>
  <c r="C102" i="1"/>
  <c r="B102" i="1"/>
  <c r="B104" i="1" s="1"/>
  <c r="M100" i="1"/>
  <c r="L100" i="1"/>
  <c r="K100" i="1"/>
  <c r="H100" i="1"/>
  <c r="G100" i="1"/>
  <c r="C100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B95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E92" i="1"/>
  <c r="D92" i="1"/>
  <c r="C92" i="1"/>
  <c r="B92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G90" i="1"/>
  <c r="F90" i="1"/>
  <c r="E90" i="1"/>
  <c r="D90" i="1"/>
  <c r="C90" i="1"/>
  <c r="B90" i="1"/>
  <c r="M86" i="1"/>
  <c r="L86" i="1"/>
  <c r="K86" i="1"/>
  <c r="J86" i="1"/>
  <c r="I86" i="1"/>
  <c r="H86" i="1"/>
  <c r="G86" i="1"/>
  <c r="F86" i="1"/>
  <c r="E86" i="1"/>
  <c r="D86" i="1"/>
  <c r="C86" i="1"/>
  <c r="B86" i="1"/>
  <c r="M85" i="1"/>
  <c r="L85" i="1"/>
  <c r="K85" i="1"/>
  <c r="J85" i="1"/>
  <c r="I85" i="1"/>
  <c r="H85" i="1"/>
  <c r="G85" i="1"/>
  <c r="F85" i="1"/>
  <c r="E85" i="1"/>
  <c r="D85" i="1"/>
  <c r="C85" i="1"/>
  <c r="B85" i="1"/>
  <c r="M84" i="1"/>
  <c r="L84" i="1"/>
  <c r="K84" i="1"/>
  <c r="J84" i="1"/>
  <c r="I84" i="1"/>
  <c r="H84" i="1"/>
  <c r="G84" i="1"/>
  <c r="F84" i="1"/>
  <c r="E84" i="1"/>
  <c r="D84" i="1"/>
  <c r="C84" i="1"/>
  <c r="B84" i="1"/>
  <c r="M83" i="1"/>
  <c r="L83" i="1"/>
  <c r="K83" i="1"/>
  <c r="J83" i="1"/>
  <c r="I83" i="1"/>
  <c r="H83" i="1"/>
  <c r="G83" i="1"/>
  <c r="F83" i="1"/>
  <c r="E83" i="1"/>
  <c r="D83" i="1"/>
  <c r="C83" i="1"/>
  <c r="B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C81" i="1"/>
  <c r="B81" i="1"/>
  <c r="F80" i="1"/>
  <c r="E80" i="1"/>
  <c r="J79" i="1"/>
  <c r="I79" i="1"/>
  <c r="H79" i="1"/>
  <c r="G79" i="1"/>
  <c r="F79" i="1"/>
  <c r="E79" i="1"/>
  <c r="D79" i="1"/>
  <c r="C79" i="1"/>
  <c r="B79" i="1"/>
  <c r="M78" i="1"/>
  <c r="L78" i="1"/>
  <c r="K78" i="1"/>
  <c r="J78" i="1"/>
  <c r="I78" i="1"/>
  <c r="H78" i="1"/>
  <c r="G78" i="1"/>
  <c r="F78" i="1"/>
  <c r="E78" i="1"/>
  <c r="D78" i="1"/>
  <c r="C78" i="1"/>
  <c r="B78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I72" i="1"/>
  <c r="H72" i="1"/>
  <c r="G72" i="1"/>
  <c r="F72" i="1"/>
  <c r="E72" i="1"/>
  <c r="D72" i="1"/>
  <c r="M71" i="1"/>
  <c r="L71" i="1"/>
  <c r="K71" i="1"/>
  <c r="J71" i="1"/>
  <c r="I71" i="1"/>
  <c r="H71" i="1"/>
  <c r="G71" i="1"/>
  <c r="F71" i="1"/>
  <c r="E71" i="1"/>
  <c r="D71" i="1"/>
  <c r="C71" i="1"/>
  <c r="B71" i="1"/>
  <c r="J70" i="1"/>
  <c r="I70" i="1"/>
  <c r="H70" i="1"/>
  <c r="G70" i="1"/>
  <c r="F70" i="1"/>
  <c r="E70" i="1"/>
  <c r="D70" i="1"/>
  <c r="C70" i="1"/>
  <c r="M52" i="1"/>
  <c r="L52" i="1"/>
  <c r="K52" i="1"/>
  <c r="J52" i="1"/>
  <c r="I52" i="1"/>
  <c r="H52" i="1"/>
  <c r="G52" i="1"/>
  <c r="F52" i="1"/>
  <c r="E52" i="1"/>
  <c r="D52" i="1"/>
  <c r="C52" i="1"/>
  <c r="B52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51" i="1"/>
  <c r="M155" i="1" s="1"/>
  <c r="L151" i="1"/>
  <c r="K151" i="1"/>
  <c r="K155" i="1" s="1"/>
  <c r="J151" i="1"/>
  <c r="J155" i="1" s="1"/>
  <c r="I151" i="1"/>
  <c r="H151" i="1"/>
  <c r="H155" i="1" s="1"/>
  <c r="G151" i="1"/>
  <c r="G155" i="1" s="1"/>
  <c r="F151" i="1"/>
  <c r="F155" i="1" s="1"/>
  <c r="E151" i="1"/>
  <c r="E155" i="1" s="1"/>
  <c r="D151" i="1"/>
  <c r="D155" i="1" s="1"/>
  <c r="C151" i="1"/>
  <c r="B151" i="1"/>
  <c r="B155" i="1" s="1"/>
  <c r="M43" i="1"/>
  <c r="K43" i="1"/>
  <c r="J43" i="1"/>
  <c r="I43" i="1"/>
  <c r="H43" i="1"/>
  <c r="E43" i="1"/>
  <c r="D43" i="1"/>
  <c r="M42" i="1"/>
  <c r="L42" i="1"/>
  <c r="K42" i="1"/>
  <c r="J42" i="1"/>
  <c r="I42" i="1"/>
  <c r="G42" i="1"/>
  <c r="F42" i="1"/>
  <c r="D42" i="1"/>
  <c r="B42" i="1"/>
  <c r="M41" i="1"/>
  <c r="L41" i="1"/>
  <c r="K41" i="1"/>
  <c r="I41" i="1"/>
  <c r="H41" i="1"/>
  <c r="C41" i="1"/>
  <c r="M26" i="1"/>
  <c r="L26" i="1"/>
  <c r="J26" i="1"/>
  <c r="I26" i="1"/>
  <c r="H26" i="1"/>
  <c r="G26" i="1"/>
  <c r="F26" i="1"/>
  <c r="B26" i="1"/>
  <c r="M33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M18" i="1"/>
  <c r="L18" i="1"/>
  <c r="K18" i="1"/>
  <c r="E18" i="1"/>
  <c r="D18" i="1"/>
  <c r="C18" i="1"/>
  <c r="B18" i="1"/>
  <c r="M17" i="1"/>
  <c r="L17" i="1"/>
  <c r="K17" i="1"/>
  <c r="J17" i="1"/>
  <c r="J19" i="1" s="1"/>
  <c r="I17" i="1"/>
  <c r="H17" i="1"/>
  <c r="H19" i="1" s="1"/>
  <c r="F17" i="1"/>
  <c r="E17" i="1"/>
  <c r="D17" i="1"/>
  <c r="C17" i="1"/>
  <c r="B17" i="1"/>
  <c r="G19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L155" i="1" l="1"/>
  <c r="C155" i="1"/>
  <c r="I155" i="1"/>
  <c r="M14" i="1"/>
  <c r="E14" i="1"/>
  <c r="M104" i="1"/>
  <c r="G104" i="1"/>
  <c r="H104" i="1"/>
  <c r="B126" i="1"/>
  <c r="K104" i="1"/>
  <c r="L104" i="1"/>
  <c r="L135" i="1"/>
  <c r="L139" i="1" s="1"/>
  <c r="L140" i="1" s="1"/>
  <c r="C104" i="1"/>
  <c r="M28" i="1"/>
  <c r="I28" i="1"/>
  <c r="H28" i="1"/>
  <c r="G28" i="1"/>
  <c r="K28" i="1"/>
  <c r="F28" i="1"/>
  <c r="E28" i="1"/>
  <c r="D28" i="1"/>
  <c r="J28" i="1"/>
  <c r="C28" i="1"/>
  <c r="L28" i="1"/>
  <c r="B28" i="1"/>
  <c r="K119" i="1"/>
  <c r="E135" i="1"/>
  <c r="E139" i="1" s="1"/>
  <c r="E140" i="1" s="1"/>
  <c r="D14" i="1"/>
  <c r="F44" i="1"/>
  <c r="L119" i="1"/>
  <c r="D44" i="1"/>
  <c r="M119" i="1"/>
  <c r="G44" i="1"/>
  <c r="D119" i="1"/>
  <c r="E119" i="1"/>
  <c r="H110" i="1"/>
  <c r="H44" i="1"/>
  <c r="G119" i="1"/>
  <c r="B119" i="1"/>
  <c r="C119" i="1"/>
  <c r="F119" i="1"/>
  <c r="H119" i="1"/>
  <c r="I119" i="1"/>
  <c r="J119" i="1"/>
  <c r="C14" i="1"/>
  <c r="I44" i="1"/>
  <c r="K44" i="1"/>
  <c r="C44" i="1"/>
  <c r="L44" i="1"/>
  <c r="E44" i="1"/>
  <c r="J44" i="1"/>
  <c r="M44" i="1"/>
  <c r="B44" i="1"/>
  <c r="K14" i="1"/>
  <c r="C19" i="1"/>
  <c r="I126" i="1"/>
  <c r="L14" i="1"/>
  <c r="M19" i="1"/>
  <c r="F110" i="1"/>
  <c r="B98" i="1"/>
  <c r="C135" i="1"/>
  <c r="C139" i="1" s="1"/>
  <c r="C140" i="1" s="1"/>
  <c r="B165" i="1"/>
  <c r="B173" i="1" s="1"/>
  <c r="B175" i="1" s="1"/>
  <c r="B177" i="1" s="1"/>
  <c r="B14" i="1"/>
  <c r="E98" i="1"/>
  <c r="F135" i="1"/>
  <c r="F139" i="1" s="1"/>
  <c r="F140" i="1" s="1"/>
  <c r="F126" i="1"/>
  <c r="C87" i="1"/>
  <c r="F98" i="1"/>
  <c r="B110" i="1"/>
  <c r="M87" i="1"/>
  <c r="H98" i="1"/>
  <c r="J126" i="1"/>
  <c r="D19" i="1"/>
  <c r="J53" i="1"/>
  <c r="D87" i="1"/>
  <c r="H135" i="1"/>
  <c r="H139" i="1" s="1"/>
  <c r="H140" i="1" s="1"/>
  <c r="K53" i="1"/>
  <c r="E110" i="1"/>
  <c r="L126" i="1"/>
  <c r="I135" i="1"/>
  <c r="I139" i="1" s="1"/>
  <c r="I140" i="1" s="1"/>
  <c r="L53" i="1"/>
  <c r="N72" i="1"/>
  <c r="E126" i="1"/>
  <c r="B135" i="1"/>
  <c r="B139" i="1" s="1"/>
  <c r="J135" i="1"/>
  <c r="J139" i="1" s="1"/>
  <c r="J140" i="1" s="1"/>
  <c r="G165" i="1"/>
  <c r="K19" i="1"/>
  <c r="E53" i="1"/>
  <c r="G110" i="1"/>
  <c r="J110" i="1"/>
  <c r="H165" i="1"/>
  <c r="E165" i="1"/>
  <c r="E173" i="1" s="1"/>
  <c r="E175" i="1" s="1"/>
  <c r="F165" i="1"/>
  <c r="G126" i="1"/>
  <c r="I165" i="1"/>
  <c r="H126" i="1"/>
  <c r="J165" i="1"/>
  <c r="J173" i="1" s="1"/>
  <c r="J175" i="1" s="1"/>
  <c r="K165" i="1"/>
  <c r="N23" i="1"/>
  <c r="N22" i="1"/>
  <c r="B87" i="1"/>
  <c r="M135" i="1"/>
  <c r="M139" i="1" s="1"/>
  <c r="M140" i="1" s="1"/>
  <c r="M126" i="1"/>
  <c r="D135" i="1"/>
  <c r="D139" i="1" s="1"/>
  <c r="D140" i="1" s="1"/>
  <c r="H14" i="1"/>
  <c r="I110" i="1"/>
  <c r="M165" i="1"/>
  <c r="C165" i="1"/>
  <c r="E19" i="1"/>
  <c r="K98" i="1"/>
  <c r="C53" i="1"/>
  <c r="N63" i="1"/>
  <c r="N138" i="1"/>
  <c r="N96" i="1"/>
  <c r="L19" i="1"/>
  <c r="N25" i="1"/>
  <c r="N41" i="1"/>
  <c r="G53" i="1"/>
  <c r="E87" i="1"/>
  <c r="D98" i="1"/>
  <c r="N62" i="1"/>
  <c r="N66" i="1"/>
  <c r="D53" i="1"/>
  <c r="N94" i="1"/>
  <c r="C98" i="1"/>
  <c r="B19" i="1"/>
  <c r="H53" i="1"/>
  <c r="G139" i="1"/>
  <c r="G140" i="1" s="1"/>
  <c r="N86" i="1"/>
  <c r="N97" i="1"/>
  <c r="N102" i="1"/>
  <c r="I53" i="1"/>
  <c r="G87" i="1"/>
  <c r="M110" i="1"/>
  <c r="I19" i="1"/>
  <c r="N74" i="1"/>
  <c r="N85" i="1"/>
  <c r="N95" i="1"/>
  <c r="F14" i="1"/>
  <c r="N37" i="1"/>
  <c r="N26" i="1"/>
  <c r="N152" i="1"/>
  <c r="I87" i="1"/>
  <c r="H87" i="1"/>
  <c r="N107" i="1"/>
  <c r="N109" i="1"/>
  <c r="C110" i="1"/>
  <c r="I98" i="1"/>
  <c r="D110" i="1"/>
  <c r="N118" i="1"/>
  <c r="I14" i="1"/>
  <c r="L87" i="1"/>
  <c r="J98" i="1"/>
  <c r="G98" i="1"/>
  <c r="D165" i="1"/>
  <c r="D173" i="1" s="1"/>
  <c r="D175" i="1" s="1"/>
  <c r="J14" i="1"/>
  <c r="N9" i="1"/>
  <c r="N70" i="1"/>
  <c r="N71" i="1"/>
  <c r="N47" i="1"/>
  <c r="N49" i="1"/>
  <c r="N50" i="1"/>
  <c r="N51" i="1"/>
  <c r="N75" i="1"/>
  <c r="N78" i="1"/>
  <c r="N80" i="1"/>
  <c r="N81" i="1"/>
  <c r="N82" i="1"/>
  <c r="N11" i="1"/>
  <c r="N12" i="1"/>
  <c r="N13" i="1"/>
  <c r="N17" i="1"/>
  <c r="N33" i="1"/>
  <c r="N130" i="1"/>
  <c r="N77" i="1"/>
  <c r="N90" i="1"/>
  <c r="N91" i="1"/>
  <c r="N93" i="1"/>
  <c r="N42" i="1"/>
  <c r="N116" i="1"/>
  <c r="N117" i="1"/>
  <c r="N137" i="1"/>
  <c r="N18" i="1"/>
  <c r="N161" i="1"/>
  <c r="N164" i="1"/>
  <c r="D35" i="3" s="1"/>
  <c r="N61" i="1"/>
  <c r="N121" i="1"/>
  <c r="N124" i="1"/>
  <c r="N125" i="1"/>
  <c r="N36" i="1"/>
  <c r="N31" i="1"/>
  <c r="N32" i="1"/>
  <c r="N43" i="1"/>
  <c r="D9" i="3" s="1"/>
  <c r="N151" i="1"/>
  <c r="B53" i="1"/>
  <c r="N46" i="1"/>
  <c r="M53" i="1"/>
  <c r="F87" i="1"/>
  <c r="N76" i="1"/>
  <c r="N24" i="1"/>
  <c r="K126" i="1"/>
  <c r="K135" i="1"/>
  <c r="K139" i="1" s="1"/>
  <c r="K140" i="1" s="1"/>
  <c r="N10" i="1"/>
  <c r="L98" i="1"/>
  <c r="N48" i="1"/>
  <c r="N79" i="1"/>
  <c r="L110" i="1"/>
  <c r="F19" i="1"/>
  <c r="M98" i="1"/>
  <c r="L165" i="1"/>
  <c r="L173" i="1" s="1"/>
  <c r="J87" i="1"/>
  <c r="N133" i="1"/>
  <c r="N52" i="1"/>
  <c r="N64" i="1"/>
  <c r="G14" i="1"/>
  <c r="F53" i="1"/>
  <c r="K87" i="1"/>
  <c r="N83" i="1"/>
  <c r="N84" i="1"/>
  <c r="N113" i="1"/>
  <c r="N115" i="1"/>
  <c r="C126" i="1"/>
  <c r="N122" i="1"/>
  <c r="N123" i="1"/>
  <c r="N129" i="1"/>
  <c r="N134" i="1"/>
  <c r="N159" i="1"/>
  <c r="N92" i="1"/>
  <c r="N100" i="1"/>
  <c r="N108" i="1"/>
  <c r="D126" i="1"/>
  <c r="N162" i="1"/>
  <c r="D34" i="3" s="1"/>
  <c r="N163" i="1"/>
  <c r="D33" i="3" s="1"/>
  <c r="D39" i="3" s="1"/>
  <c r="L175" i="1" l="1"/>
  <c r="N155" i="1"/>
  <c r="C172" i="1"/>
  <c r="C173" i="1"/>
  <c r="C175" i="1" s="1"/>
  <c r="C177" i="1" s="1"/>
  <c r="D177" i="1" s="1"/>
  <c r="E177" i="1" s="1"/>
  <c r="K172" i="1"/>
  <c r="K173" i="1"/>
  <c r="K175" i="1" s="1"/>
  <c r="G172" i="1"/>
  <c r="G173" i="1"/>
  <c r="G175" i="1" s="1"/>
  <c r="H172" i="1"/>
  <c r="H173" i="1"/>
  <c r="H175" i="1" s="1"/>
  <c r="M172" i="1"/>
  <c r="M173" i="1"/>
  <c r="M175" i="1" s="1"/>
  <c r="I172" i="1"/>
  <c r="I173" i="1"/>
  <c r="I175" i="1" s="1"/>
  <c r="F172" i="1"/>
  <c r="F173" i="1"/>
  <c r="F175" i="1" s="1"/>
  <c r="F142" i="1"/>
  <c r="L142" i="1"/>
  <c r="D142" i="1"/>
  <c r="E142" i="1"/>
  <c r="K142" i="1"/>
  <c r="C142" i="1"/>
  <c r="M142" i="1"/>
  <c r="J142" i="1"/>
  <c r="H142" i="1"/>
  <c r="G142" i="1"/>
  <c r="I142" i="1"/>
  <c r="D55" i="1"/>
  <c r="D57" i="1" s="1"/>
  <c r="M55" i="1"/>
  <c r="M57" i="1" s="1"/>
  <c r="F55" i="1"/>
  <c r="F57" i="1" s="1"/>
  <c r="H55" i="1"/>
  <c r="H57" i="1" s="1"/>
  <c r="G55" i="1"/>
  <c r="G57" i="1" s="1"/>
  <c r="D8" i="3"/>
  <c r="I55" i="1"/>
  <c r="I57" i="1" s="1"/>
  <c r="N38" i="1"/>
  <c r="D12" i="3" s="1"/>
  <c r="J55" i="1"/>
  <c r="J57" i="1" s="1"/>
  <c r="L55" i="1"/>
  <c r="L57" i="1" s="1"/>
  <c r="C55" i="1"/>
  <c r="C57" i="1" s="1"/>
  <c r="E55" i="1"/>
  <c r="E57" i="1" s="1"/>
  <c r="K55" i="1"/>
  <c r="K57" i="1" s="1"/>
  <c r="B55" i="1"/>
  <c r="N119" i="1"/>
  <c r="D22" i="3" s="1"/>
  <c r="N44" i="1"/>
  <c r="D172" i="1"/>
  <c r="E172" i="1"/>
  <c r="L172" i="1"/>
  <c r="J172" i="1"/>
  <c r="N126" i="1"/>
  <c r="D26" i="3" s="1"/>
  <c r="N19" i="1"/>
  <c r="D13" i="3" s="1"/>
  <c r="B172" i="1"/>
  <c r="N110" i="1"/>
  <c r="D24" i="3" s="1"/>
  <c r="N87" i="1"/>
  <c r="D21" i="3" s="1"/>
  <c r="N139" i="1"/>
  <c r="D11" i="3"/>
  <c r="N98" i="1"/>
  <c r="D23" i="3" s="1"/>
  <c r="N67" i="1"/>
  <c r="D20" i="3" s="1"/>
  <c r="N135" i="1"/>
  <c r="B140" i="1"/>
  <c r="N140" i="1" s="1"/>
  <c r="N53" i="1"/>
  <c r="N165" i="1"/>
  <c r="N173" i="1" s="1"/>
  <c r="N14" i="1"/>
  <c r="D10" i="3" s="1"/>
  <c r="N104" i="1"/>
  <c r="D25" i="3" s="1"/>
  <c r="D27" i="3" l="1"/>
  <c r="D17" i="3"/>
  <c r="D29" i="3" s="1"/>
  <c r="F177" i="1"/>
  <c r="G177" i="1" s="1"/>
  <c r="H177" i="1" s="1"/>
  <c r="I177" i="1" s="1"/>
  <c r="J177" i="1" s="1"/>
  <c r="K177" i="1" s="1"/>
  <c r="L177" i="1" s="1"/>
  <c r="M177" i="1" s="1"/>
  <c r="N175" i="1"/>
  <c r="D42" i="3"/>
  <c r="B142" i="1"/>
  <c r="N142" i="1"/>
  <c r="N55" i="1"/>
  <c r="L144" i="1"/>
  <c r="I144" i="1"/>
  <c r="N172" i="1"/>
  <c r="E144" i="1"/>
  <c r="H144" i="1"/>
  <c r="G144" i="1"/>
  <c r="M144" i="1"/>
  <c r="J144" i="1"/>
  <c r="F144" i="1"/>
  <c r="C144" i="1"/>
  <c r="D144" i="1"/>
  <c r="B57" i="1"/>
  <c r="K144" i="1"/>
  <c r="B144" i="1" l="1"/>
  <c r="B146" i="1" s="1"/>
  <c r="N57" i="1"/>
  <c r="N144" i="1" s="1"/>
  <c r="C146" i="1" l="1"/>
  <c r="B182" i="1"/>
  <c r="D146" i="1" l="1"/>
  <c r="C182" i="1"/>
  <c r="E146" i="1" l="1"/>
  <c r="D182" i="1"/>
  <c r="F146" i="1" l="1"/>
  <c r="E182" i="1"/>
  <c r="G146" i="1" l="1"/>
  <c r="F182" i="1"/>
  <c r="H146" i="1" l="1"/>
  <c r="G182" i="1"/>
  <c r="I146" i="1" l="1"/>
  <c r="H182" i="1"/>
  <c r="J146" i="1" l="1"/>
  <c r="I182" i="1"/>
  <c r="K146" i="1" l="1"/>
  <c r="J182" i="1"/>
  <c r="L146" i="1" l="1"/>
  <c r="K182" i="1"/>
  <c r="M146" i="1" l="1"/>
  <c r="M182" i="1" s="1"/>
  <c r="D45" i="3" s="1"/>
  <c r="D46" i="3" s="1"/>
  <c r="L1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Richter</author>
  </authors>
  <commentList>
    <comment ref="J41" authorId="0" shapeId="0" xr:uid="{BB0913BB-BFBC-4F7D-8A5D-2ECAD668DC34}">
      <text>
        <r>
          <rPr>
            <b/>
            <sz val="9"/>
            <color indexed="81"/>
            <rFont val="Tahoma"/>
            <family val="2"/>
          </rPr>
          <t>Denise Richter:</t>
        </r>
        <r>
          <rPr>
            <sz val="9"/>
            <color indexed="81"/>
            <rFont val="Tahoma"/>
            <family val="2"/>
          </rPr>
          <t xml:space="preserve">
PNC Event</t>
        </r>
      </text>
    </comment>
    <comment ref="E43" authorId="0" shapeId="0" xr:uid="{7A302437-3C97-4DF3-92E2-D204342E364E}">
      <text>
        <r>
          <rPr>
            <b/>
            <sz val="9"/>
            <color rgb="FF000000"/>
            <rFont val="Tahoma"/>
            <family val="2"/>
          </rPr>
          <t>Denise Richter: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First Lieutenant PF Cureton Foundation</t>
        </r>
      </text>
    </comment>
    <comment ref="F43" authorId="0" shapeId="0" xr:uid="{A0B1E4F6-130A-4965-AAFA-968A990CDABF}">
      <text>
        <r>
          <rPr>
            <b/>
            <sz val="9"/>
            <color rgb="FF000000"/>
            <rFont val="Tahoma"/>
            <family val="2"/>
          </rPr>
          <t>Denise Richter: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Dabo All-In $5k
</t>
        </r>
        <r>
          <rPr>
            <sz val="9"/>
            <color rgb="FF000000"/>
            <rFont val="Tahoma"/>
            <family val="2"/>
          </rPr>
          <t>Health Authority $87.5k</t>
        </r>
      </text>
    </comment>
    <comment ref="G43" authorId="0" shapeId="0" xr:uid="{E592C1A4-0F9C-4A74-8158-BB2E8575DB01}">
      <text>
        <r>
          <rPr>
            <b/>
            <sz val="9"/>
            <color rgb="FF000000"/>
            <rFont val="Tahoma"/>
            <family val="2"/>
          </rPr>
          <t>Denise Richter: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Will's Work $5k</t>
        </r>
      </text>
    </comment>
    <comment ref="L43" authorId="0" shapeId="0" xr:uid="{141678D5-2BFA-460B-82D3-61C530FCBD87}">
      <text>
        <r>
          <rPr>
            <b/>
            <sz val="9"/>
            <color rgb="FF000000"/>
            <rFont val="Tahoma"/>
            <family val="2"/>
          </rPr>
          <t>Denise Richter: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ATAX $10k
</t>
        </r>
        <r>
          <rPr>
            <sz val="9"/>
            <color rgb="FF000000"/>
            <rFont val="Tahoma"/>
            <family val="2"/>
          </rPr>
          <t>GVL Women's Giving $25k</t>
        </r>
      </text>
    </comment>
    <comment ref="C95" authorId="0" shapeId="0" xr:uid="{40C1B7A6-EF28-4D8E-8383-1D2D60D6D033}">
      <text>
        <r>
          <rPr>
            <b/>
            <sz val="9"/>
            <color indexed="81"/>
            <rFont val="Tahoma"/>
            <family val="2"/>
          </rPr>
          <t>Denise Richter:</t>
        </r>
        <r>
          <rPr>
            <sz val="9"/>
            <color indexed="81"/>
            <rFont val="Tahoma"/>
            <family val="2"/>
          </rPr>
          <t xml:space="preserve">
Sync Website Services</t>
        </r>
      </text>
    </comment>
    <comment ref="F115" authorId="0" shapeId="0" xr:uid="{2AB7506C-51AB-43F9-A9EE-77176D367A1B}">
      <text>
        <r>
          <rPr>
            <b/>
            <sz val="9"/>
            <color indexed="81"/>
            <rFont val="Tahoma"/>
            <family val="2"/>
          </rPr>
          <t>Denise Richter:</t>
        </r>
        <r>
          <rPr>
            <sz val="9"/>
            <color indexed="81"/>
            <rFont val="Tahoma"/>
            <family val="2"/>
          </rPr>
          <t xml:space="preserve">
Music &amp; Instruments</t>
        </r>
      </text>
    </comment>
    <comment ref="B125" authorId="0" shapeId="0" xr:uid="{9FAA83A6-A326-4560-A3C4-E0BE1DD4CFB6}">
      <text>
        <r>
          <rPr>
            <b/>
            <sz val="9"/>
            <color indexed="81"/>
            <rFont val="Tahoma"/>
            <family val="2"/>
          </rPr>
          <t>Denise Richter:</t>
        </r>
        <r>
          <rPr>
            <sz val="9"/>
            <color indexed="81"/>
            <rFont val="Tahoma"/>
            <family val="2"/>
          </rPr>
          <t xml:space="preserve">
Florish monthly over 7 months</t>
        </r>
      </text>
    </comment>
    <comment ref="C150" authorId="0" shapeId="0" xr:uid="{11F37DF3-5E40-4904-B041-6944F9778733}">
      <text>
        <r>
          <rPr>
            <b/>
            <sz val="9"/>
            <color indexed="81"/>
            <rFont val="Tahoma"/>
            <family val="2"/>
          </rPr>
          <t>Denise Richter:</t>
        </r>
        <r>
          <rPr>
            <sz val="9"/>
            <color indexed="81"/>
            <rFont val="Tahoma"/>
            <family val="2"/>
          </rPr>
          <t xml:space="preserve">
State Funding</t>
        </r>
      </text>
    </comment>
    <comment ref="C162" authorId="0" shapeId="0" xr:uid="{019AF085-D6E8-4D1F-8234-397893404E50}">
      <text>
        <r>
          <rPr>
            <b/>
            <sz val="9"/>
            <color indexed="81"/>
            <rFont val="Tahoma"/>
            <family val="2"/>
          </rPr>
          <t>Denise Richter:</t>
        </r>
        <r>
          <rPr>
            <sz val="9"/>
            <color indexed="81"/>
            <rFont val="Tahoma"/>
            <family val="2"/>
          </rPr>
          <t xml:space="preserve">
Healing Garden bank erosion project</t>
        </r>
      </text>
    </comment>
    <comment ref="E162" authorId="0" shapeId="0" xr:uid="{27F76884-4FEE-43FE-85A6-867BF9A4EA59}">
      <text>
        <r>
          <rPr>
            <b/>
            <sz val="9"/>
            <color indexed="81"/>
            <rFont val="Tahoma"/>
            <family val="2"/>
          </rPr>
          <t>Denise Richter:</t>
        </r>
        <r>
          <rPr>
            <sz val="9"/>
            <color indexed="81"/>
            <rFont val="Tahoma"/>
            <family val="2"/>
          </rPr>
          <t xml:space="preserve">
Healing Garden bank erosion project</t>
        </r>
      </text>
    </comment>
  </commentList>
</comments>
</file>

<file path=xl/sharedStrings.xml><?xml version="1.0" encoding="utf-8"?>
<sst xmlns="http://schemas.openxmlformats.org/spreadsheetml/2006/main" count="303" uniqueCount="271">
  <si>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</si>
  <si>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</si>
  <si>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</si>
  <si>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</si>
  <si>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</si>
  <si>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</si>
  <si>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</si>
  <si>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</si>
  <si>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</si>
  <si>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</si>
  <si>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</si>
  <si>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 2025</t>
  </si>
  <si>
    <t>Total</t>
  </si>
  <si>
    <t>Revenue</t>
  </si>
  <si>
    <t xml:space="preserve">   4100 Unrestricted Support &amp; Revenue</t>
  </si>
  <si>
    <t xml:space="preserve">      4110 General Support</t>
  </si>
  <si>
    <t xml:space="preserve">         4111 Unrestricted Grants</t>
  </si>
  <si>
    <t xml:space="preserve">         4112 Contributions - Board Retreat Grant</t>
  </si>
  <si>
    <t xml:space="preserve">         4113 Contributions - Board Campaign</t>
  </si>
  <si>
    <t xml:space="preserve">         4115 Other General Support</t>
  </si>
  <si>
    <t xml:space="preserve">      Total 4110 General Support</t>
  </si>
  <si>
    <t xml:space="preserve">      4120 Annual Fundraisers</t>
  </si>
  <si>
    <t xml:space="preserve">         4121 #Giving Tuesday</t>
  </si>
  <si>
    <t xml:space="preserve">         4122 End of Year Mailing</t>
  </si>
  <si>
    <t xml:space="preserve">      Total 4120 Annual Fundraisers</t>
  </si>
  <si>
    <t xml:space="preserve">      4130 Special Events</t>
  </si>
  <si>
    <t xml:space="preserve">         4131 CHOP! Cancer and Rock the Lot! Income</t>
  </si>
  <si>
    <t xml:space="preserve">         4134 Stick it to Cancer</t>
  </si>
  <si>
    <t xml:space="preserve">         4136 Other Misc Events</t>
  </si>
  <si>
    <t xml:space="preserve">      Total 4130 Special Events</t>
  </si>
  <si>
    <t xml:space="preserve">      4140 Sponsorships</t>
  </si>
  <si>
    <t xml:space="preserve">         4141 Corporate Year Long Sponsors</t>
  </si>
  <si>
    <t xml:space="preserve">         4142 Programs - Cancer Survivors Day</t>
  </si>
  <si>
    <t xml:space="preserve">         4143 Programs - Other</t>
  </si>
  <si>
    <t xml:space="preserve">         4144 Pazdan's Peloton</t>
  </si>
  <si>
    <t xml:space="preserve">      Total 4140 Sponsorships</t>
  </si>
  <si>
    <t xml:space="preserve">      4150 Unrestricted Sales</t>
  </si>
  <si>
    <t xml:space="preserve">      4160 Interest Revenue</t>
  </si>
  <si>
    <t xml:space="preserve">   Total 4100 Unrestricted Support &amp; Revenue</t>
  </si>
  <si>
    <t xml:space="preserve">   4500 Restricted Donations</t>
  </si>
  <si>
    <t xml:space="preserve">      4501 Restricted Donations - General</t>
  </si>
  <si>
    <t xml:space="preserve">      4502 Pledges - Restricted</t>
  </si>
  <si>
    <t xml:space="preserve">      4503 Grants - Restricted</t>
  </si>
  <si>
    <t xml:space="preserve">      4504 Restricted Donations - Capital Campaign</t>
  </si>
  <si>
    <t xml:space="preserve">      4505 Restricted Donations - Endowment Fund</t>
  </si>
  <si>
    <t xml:space="preserve">      4506 Restricted Donations- Silent Auction</t>
  </si>
  <si>
    <t xml:space="preserve">   Total 4500 Restricted Donations</t>
  </si>
  <si>
    <t xml:space="preserve">      4 Contributed support-Unrestricted</t>
  </si>
  <si>
    <t xml:space="preserve">      4980 Contributions- Corporate</t>
  </si>
  <si>
    <t xml:space="preserve">      4981 Ind./small bus. contributions</t>
  </si>
  <si>
    <t xml:space="preserve">      4983 Grants - Restricted</t>
  </si>
  <si>
    <t xml:space="preserve">      4987 Program Fees Income</t>
  </si>
  <si>
    <t xml:space="preserve">      4991 Corporate Giving Contributions</t>
  </si>
  <si>
    <t xml:space="preserve">   Total 4950 Revenue Accounts - Inactive</t>
  </si>
  <si>
    <t>Total Revenue</t>
  </si>
  <si>
    <t>Gross Profit</t>
  </si>
  <si>
    <t xml:space="preserve">   6000 Personnel</t>
  </si>
  <si>
    <t xml:space="preserve">      6010 Executive Director Salary</t>
  </si>
  <si>
    <t xml:space="preserve">      6040 Health Insurance for Employees</t>
  </si>
  <si>
    <t xml:space="preserve">      6050 Payroll taxes</t>
  </si>
  <si>
    <t xml:space="preserve">   Total 6000 Personnel</t>
  </si>
  <si>
    <t xml:space="preserve">   6200 Office Expenses</t>
  </si>
  <si>
    <t xml:space="preserve">      6210 Payroll Processing Fees</t>
  </si>
  <si>
    <t xml:space="preserve">      6212 I. T. Support</t>
  </si>
  <si>
    <t xml:space="preserve">      6214 Bookkeeping support</t>
  </si>
  <si>
    <t xml:space="preserve">      6216 Office Supplies</t>
  </si>
  <si>
    <t xml:space="preserve">      6220 Office Equipment Maintenance</t>
  </si>
  <si>
    <t xml:space="preserve">      6222 Postage, shipping, delivery</t>
  </si>
  <si>
    <t xml:space="preserve">      6224 Mailing &amp; Emailing services</t>
  </si>
  <si>
    <t xml:space="preserve">      6228 Printing &amp; copying</t>
  </si>
  <si>
    <t xml:space="preserve">      6230 Computers &amp; Software</t>
  </si>
  <si>
    <t xml:space="preserve">      6232 Rent</t>
  </si>
  <si>
    <t xml:space="preserve">      6238 Board Meeting Expenses</t>
  </si>
  <si>
    <t xml:space="preserve">      6240 Insurance</t>
  </si>
  <si>
    <t xml:space="preserve">      6242 Org. Memberships</t>
  </si>
  <si>
    <t xml:space="preserve">      6244 Audit</t>
  </si>
  <si>
    <t xml:space="preserve">      6250 Bank Fees</t>
  </si>
  <si>
    <t xml:space="preserve">      6290 Misc Office Expenses</t>
  </si>
  <si>
    <t xml:space="preserve">   Total 6200 Office Expenses</t>
  </si>
  <si>
    <t xml:space="preserve">   6300 Center for Hope &amp; Healing (CHH)</t>
  </si>
  <si>
    <t xml:space="preserve">      6303 IT &amp; Support</t>
  </si>
  <si>
    <t xml:space="preserve">      6305 Janitorial</t>
  </si>
  <si>
    <t xml:space="preserve">      6307 Rent</t>
  </si>
  <si>
    <t xml:space="preserve">      6311 Security</t>
  </si>
  <si>
    <t xml:space="preserve">      6313 Telephone/Internet</t>
  </si>
  <si>
    <t xml:space="preserve">      6317 Website Design &amp; Support</t>
  </si>
  <si>
    <t xml:space="preserve">      6390 Misc CHH Expenses</t>
  </si>
  <si>
    <t xml:space="preserve">   Total 6300 Center for Hope &amp; Healing (CHH)</t>
  </si>
  <si>
    <t xml:space="preserve">   6400 PR and Marketing Expense</t>
  </si>
  <si>
    <t xml:space="preserve">      6410 Graphic Design &amp; Marketing Support</t>
  </si>
  <si>
    <t xml:space="preserve">   Total 6400 PR and Marketing Expense</t>
  </si>
  <si>
    <t xml:space="preserve">   6501 Fundraising</t>
  </si>
  <si>
    <t xml:space="preserve">      6503 IOB, Butterfly, and Other Fund Raising Expenses</t>
  </si>
  <si>
    <t xml:space="preserve">      6505 Consultant</t>
  </si>
  <si>
    <t xml:space="preserve">      6507 End of Year Mailing</t>
  </si>
  <si>
    <t xml:space="preserve">   Total 6501 Fundraising</t>
  </si>
  <si>
    <t xml:space="preserve">   6602 Programs</t>
  </si>
  <si>
    <t xml:space="preserve">      6604 Programs - Cancer Survivors Day</t>
  </si>
  <si>
    <t xml:space="preserve">      6606 Programs - Other</t>
  </si>
  <si>
    <t xml:space="preserve">      6607 Programs - Pass it Down</t>
  </si>
  <si>
    <t xml:space="preserve">      6608 Programs - Survivor Series</t>
  </si>
  <si>
    <t xml:space="preserve">   Total 6602 Programs</t>
  </si>
  <si>
    <t xml:space="preserve">   6700 Special Events</t>
  </si>
  <si>
    <t xml:space="preserve">      6701 CHOP! Cancer &amp; Rock The Lot!</t>
  </si>
  <si>
    <t xml:space="preserve">      6702 Other Misc Events</t>
  </si>
  <si>
    <t xml:space="preserve">      6705 Sync for Survivors</t>
  </si>
  <si>
    <t xml:space="preserve">   Total 6700 Special Events</t>
  </si>
  <si>
    <t xml:space="preserve">      Grant &amp; contract expense</t>
  </si>
  <si>
    <t xml:space="preserve">         Contracts - program-related</t>
  </si>
  <si>
    <t xml:space="preserve">      Total Grant &amp; contract expense</t>
  </si>
  <si>
    <t xml:space="preserve">      Non-personnel related expenses</t>
  </si>
  <si>
    <t xml:space="preserve">         8200 Occupancy expenses</t>
  </si>
  <si>
    <t xml:space="preserve">            8240 Property taxes</t>
  </si>
  <si>
    <t xml:space="preserve">            8260 Equip. rental &amp; maintenance</t>
  </si>
  <si>
    <t xml:space="preserve">         Total 8200 Occupancy expenses</t>
  </si>
  <si>
    <t xml:space="preserve">         8500 Organizational Expenses</t>
  </si>
  <si>
    <t xml:space="preserve">            8590 Other expenses</t>
  </si>
  <si>
    <t xml:space="preserve">         Total 8500 Organizational Expenses</t>
  </si>
  <si>
    <t xml:space="preserve">      Total Non-personnel related expenses</t>
  </si>
  <si>
    <t>Total Expenditures</t>
  </si>
  <si>
    <t>Net Operating Revenue</t>
  </si>
  <si>
    <t xml:space="preserve">   9 Non-GAAP expenses</t>
  </si>
  <si>
    <t xml:space="preserve">      9800 Fixed asset purchases</t>
  </si>
  <si>
    <t xml:space="preserve">         9850 Administrative Costs</t>
  </si>
  <si>
    <t xml:space="preserve">            9850-04 LOC Interest</t>
  </si>
  <si>
    <t xml:space="preserve">            9850-05 Term Loan Interest</t>
  </si>
  <si>
    <t xml:space="preserve">         Total 9850 Administrative Costs</t>
  </si>
  <si>
    <t xml:space="preserve">   Total 9 Non-GAAP expenses</t>
  </si>
  <si>
    <t>Cancer Survivors Park Alliance</t>
  </si>
  <si>
    <t>July 2024 - June 2025</t>
  </si>
  <si>
    <t xml:space="preserve">   4950 Revenue Accounts </t>
  </si>
  <si>
    <t xml:space="preserve">      4984 Public Funds - Gov't</t>
  </si>
  <si>
    <t xml:space="preserve">   Expense Accounts </t>
  </si>
  <si>
    <t xml:space="preserve">   Total Expense Accounts </t>
  </si>
  <si>
    <t>Payroll</t>
  </si>
  <si>
    <t>TOTAL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</si>
  <si>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</si>
  <si>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</si>
  <si>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</si>
  <si>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</si>
  <si>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</si>
  <si>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</si>
  <si>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</si>
  <si>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</si>
  <si>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</si>
  <si>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</si>
  <si>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</si>
  <si>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</si>
  <si>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YEAR</t>
  </si>
  <si>
    <t>Salary</t>
  </si>
  <si>
    <t>Executive Director</t>
  </si>
  <si>
    <t>Associate Director</t>
  </si>
  <si>
    <t>Program Director</t>
  </si>
  <si>
    <t>TOTAL SALARIES</t>
  </si>
  <si>
    <t>Health</t>
  </si>
  <si>
    <t>Insurance</t>
  </si>
  <si>
    <t>9/1 start date - 10% increase for Health</t>
  </si>
  <si>
    <t>Life</t>
  </si>
  <si>
    <t>STD</t>
  </si>
  <si>
    <t>LTD</t>
  </si>
  <si>
    <t>Health - BCBS - CSPA pays  80%, employee pays 20%</t>
  </si>
  <si>
    <t>Life, STD, LTD - Mutual of Omahha - CSPA pays 100%</t>
  </si>
  <si>
    <t>TOTAL HEALTH INSURANCE</t>
  </si>
  <si>
    <t xml:space="preserve">Kay </t>
  </si>
  <si>
    <t>LC</t>
  </si>
  <si>
    <t>FICA</t>
  </si>
  <si>
    <t>max $153</t>
  </si>
  <si>
    <t>SUI</t>
  </si>
  <si>
    <t>max $42</t>
  </si>
  <si>
    <t>FUI</t>
  </si>
  <si>
    <t>TOTAL PAYROLL TAXES</t>
  </si>
  <si>
    <t>Administrative Assistant</t>
  </si>
  <si>
    <t>Program Coordinator</t>
  </si>
  <si>
    <t>FY 2024-2025</t>
  </si>
  <si>
    <t>2024</t>
  </si>
  <si>
    <t>2025</t>
  </si>
  <si>
    <t>New Hire - FT</t>
  </si>
  <si>
    <t xml:space="preserve">      6020 Associate Director</t>
  </si>
  <si>
    <t>9/1/24 Update</t>
  </si>
  <si>
    <t>PNC Event</t>
  </si>
  <si>
    <t>TBD</t>
  </si>
  <si>
    <t>Jan 2025 start</t>
  </si>
  <si>
    <t>Notes</t>
  </si>
  <si>
    <t>Mar '25 includes 1099 billing</t>
  </si>
  <si>
    <t>New space - Jan 2025</t>
  </si>
  <si>
    <t>80% paid by CSPA</t>
  </si>
  <si>
    <t xml:space="preserve">      6045 Retirement for Employees</t>
  </si>
  <si>
    <t>Retirement</t>
  </si>
  <si>
    <t>CSPA match - 3%</t>
  </si>
  <si>
    <t>TOTAL RETIREMENT MATCH</t>
  </si>
  <si>
    <t>Advertising space - Sync/</t>
  </si>
  <si>
    <t>Sync web services - Aug 2024</t>
  </si>
  <si>
    <t xml:space="preserve">      6319 CHH Supplies &amp; Materials</t>
  </si>
  <si>
    <t xml:space="preserve">      6609 Programs - Pharma Event</t>
  </si>
  <si>
    <t xml:space="preserve">      4506  - Restricted Donations - Legacy Givings</t>
  </si>
  <si>
    <t xml:space="preserve">      6030 Program Director Salary</t>
  </si>
  <si>
    <t xml:space="preserve">      6215 Account Management Fees</t>
  </si>
  <si>
    <t>Community Foundation &amp; Retirement Fees</t>
  </si>
  <si>
    <t>new for FY budgeting</t>
  </si>
  <si>
    <t xml:space="preserve">     6605  New Programs</t>
  </si>
  <si>
    <t xml:space="preserve">      6704 Pazdan Peloton</t>
  </si>
  <si>
    <t>bank erosion project</t>
  </si>
  <si>
    <t xml:space="preserve">Budget Overview: Budget_FY25_P&amp;L </t>
  </si>
  <si>
    <t>Beginning Cash Balance - Operations</t>
  </si>
  <si>
    <t>Based on mthly avg FY24</t>
  </si>
  <si>
    <t>Based on FY24</t>
  </si>
  <si>
    <t xml:space="preserve">       4180 Fees (Pharma Event)</t>
  </si>
  <si>
    <t xml:space="preserve">       4135 Sync for Survivors</t>
  </si>
  <si>
    <t>Operational Expenditures</t>
  </si>
  <si>
    <t xml:space="preserve">       6405 Advertising/Journal</t>
  </si>
  <si>
    <t>Cash Balance - Operations</t>
  </si>
  <si>
    <t>Beginning Cash Balance - Construction</t>
  </si>
  <si>
    <t xml:space="preserve">      4501 Restricted Grants - Construction </t>
  </si>
  <si>
    <t>Order of Mth:  1st Liet Foundation, Dabos AllIn, Health Authority, Will's work, ATAX, GVL Women's Giving</t>
  </si>
  <si>
    <t>State Funding</t>
  </si>
  <si>
    <t>Construction Revenue</t>
  </si>
  <si>
    <t>Fall &amp; Spring events</t>
  </si>
  <si>
    <t>Construction Expenditures</t>
  </si>
  <si>
    <t xml:space="preserve">         9801 Parking Expenses</t>
  </si>
  <si>
    <t xml:space="preserve">            Healing Garden Expenses</t>
  </si>
  <si>
    <t xml:space="preserve">            Features/Sculpture Expenses</t>
  </si>
  <si>
    <t>Heron &amp; Bell</t>
  </si>
  <si>
    <t xml:space="preserve">            Donor/Signage Expenses</t>
  </si>
  <si>
    <t xml:space="preserve">         Total 9801 Park Expenses</t>
  </si>
  <si>
    <t xml:space="preserve">      Total Fixed asset purchases</t>
  </si>
  <si>
    <t xml:space="preserve">          New Computers</t>
  </si>
  <si>
    <t>2 new computers</t>
  </si>
  <si>
    <t>Total Construction Expenditures</t>
  </si>
  <si>
    <t>Net Construction Revenue</t>
  </si>
  <si>
    <t>Cash Balance - Construction</t>
  </si>
  <si>
    <t>Total Cash - Southern First</t>
  </si>
  <si>
    <t>Budget - Summary</t>
  </si>
  <si>
    <t>FY 2023 - 2024</t>
  </si>
  <si>
    <t>Fiscal Year</t>
  </si>
  <si>
    <t>BUDGET</t>
  </si>
  <si>
    <t>Support &amp; Revenue</t>
  </si>
  <si>
    <t>Contributions</t>
  </si>
  <si>
    <t>Grants</t>
  </si>
  <si>
    <t xml:space="preserve">Sales </t>
  </si>
  <si>
    <t>Annual Fundraisers</t>
  </si>
  <si>
    <t>Memberships</t>
  </si>
  <si>
    <t>Fees</t>
  </si>
  <si>
    <t>Planned Giving</t>
  </si>
  <si>
    <t>Total Support &amp; Revenue</t>
  </si>
  <si>
    <t>Expenditures:</t>
  </si>
  <si>
    <t>Personnel</t>
  </si>
  <si>
    <t>Office</t>
  </si>
  <si>
    <t>Programs</t>
  </si>
  <si>
    <t>CHH</t>
  </si>
  <si>
    <t>Fundraising</t>
  </si>
  <si>
    <t>PR &amp; Marketing</t>
  </si>
  <si>
    <t>Special Events</t>
  </si>
  <si>
    <t>Total Expenditure</t>
  </si>
  <si>
    <t>NET REVENUES &amp; EXPENDITURES</t>
  </si>
  <si>
    <t>Capital Expenditures for Sponsored Park Elements:</t>
  </si>
  <si>
    <t>Sculptures</t>
  </si>
  <si>
    <t>Spent FY 2021-22</t>
  </si>
  <si>
    <t>2024-2025</t>
  </si>
  <si>
    <t>Sponsorships</t>
  </si>
  <si>
    <t xml:space="preserve">Events </t>
  </si>
  <si>
    <t xml:space="preserve">Healing Garden </t>
  </si>
  <si>
    <t>Donor/Signage</t>
  </si>
  <si>
    <t>Total Restricted Donations</t>
  </si>
  <si>
    <t>Total Beginning Cash Balance</t>
  </si>
  <si>
    <t>Total Ending Cash Balance</t>
  </si>
  <si>
    <t>Net Cash Increase for FY25</t>
  </si>
  <si>
    <t>does not include retirement match</t>
  </si>
  <si>
    <t>3% Cost of Living/3% merit</t>
  </si>
  <si>
    <t>3% Cost of Living/3%merit</t>
  </si>
  <si>
    <t>Moved this from sponsorships to special events</t>
  </si>
  <si>
    <t>2025 expense: $3,559 is for potential Sync for Survivors next year. It's possible that doesn't happen.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</si>
</sst>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\ _€"/>
    <numFmt numFmtId="165" formatCode="_(* #,##0_);_(* \(#,##0\);_(* &quot;-&quot;??_);_(@_)"/>
    <numFmt numFmtId="166" formatCode="#,##0\ _€"/>
  </numFmts>
  <fonts count="3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 val="singleAccounting"/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u val="singleAccounting"/>
      <sz val="11"/>
      <name val="Arial"/>
      <family val="2"/>
    </font>
    <font>
      <b/>
      <sz val="8"/>
      <color indexed="8"/>
      <name val="Arial"/>
      <family val="2"/>
    </font>
    <font>
      <sz val="8"/>
      <name val="Aptos Narrow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4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1">
    <xf numFmtId="0" fontId="0" fillId="0" borderId="0" xfId="0"/>
    <xf numFmtId="165" fontId="4" fillId="0" borderId="0" xfId="2" applyNumberFormat="1" applyFont="1"/>
    <xf numFmtId="165" fontId="0" fillId="0" borderId="0" xfId="2" applyNumberFormat="1" applyFont="1" applyAlignment="1">
      <alignment horizontal="right"/>
    </xf>
    <xf numFmtId="165" fontId="0" fillId="0" borderId="0" xfId="2" applyNumberFormat="1" applyFont="1"/>
    <xf numFmtId="165" fontId="0" fillId="0" borderId="0" xfId="2" applyNumberFormat="1" applyFont="1" applyFill="1"/>
    <xf numFmtId="165" fontId="4" fillId="0" borderId="0" xfId="2" quotePrefix="1" applyNumberFormat="1" applyFont="1"/>
    <xf numFmtId="165" fontId="6" fillId="2" borderId="6" xfId="2" applyNumberFormat="1" applyFont="1" applyFill="1" applyBorder="1" applyAlignment="1">
      <alignment horizontal="center"/>
    </xf>
    <xf numFmtId="10" fontId="0" fillId="0" borderId="0" xfId="3" applyNumberFormat="1" applyFont="1" applyAlignment="1">
      <alignment horizontal="right"/>
    </xf>
    <xf numFmtId="165" fontId="6" fillId="2" borderId="7" xfId="2" applyNumberFormat="1" applyFont="1" applyFill="1" applyBorder="1" applyAlignment="1">
      <alignment horizontal="right"/>
    </xf>
    <xf numFmtId="165" fontId="6" fillId="2" borderId="1" xfId="2" applyNumberFormat="1" applyFont="1" applyFill="1" applyBorder="1" applyAlignment="1">
      <alignment horizontal="right"/>
    </xf>
    <xf numFmtId="165" fontId="6" fillId="2" borderId="8" xfId="2" applyNumberFormat="1" applyFont="1" applyFill="1" applyBorder="1" applyAlignment="1">
      <alignment horizontal="right"/>
    </xf>
    <xf numFmtId="165" fontId="6" fillId="2" borderId="9" xfId="2" applyNumberFormat="1" applyFont="1" applyFill="1" applyBorder="1" applyAlignment="1">
      <alignment horizontal="center"/>
    </xf>
    <xf numFmtId="165" fontId="7" fillId="0" borderId="0" xfId="2" applyNumberFormat="1" applyFont="1" applyAlignment="1">
      <alignment horizontal="right"/>
    </xf>
    <xf numFmtId="165" fontId="3" fillId="0" borderId="0" xfId="2" applyNumberFormat="1" applyFont="1"/>
    <xf numFmtId="43" fontId="0" fillId="0" borderId="0" xfId="2" applyFont="1"/>
    <xf numFmtId="9" fontId="0" fillId="0" borderId="0" xfId="3" applyFont="1"/>
    <xf numFmtId="165" fontId="3" fillId="0" borderId="0" xfId="2" applyNumberFormat="1" applyFont="1" applyFill="1"/>
    <xf numFmtId="165" fontId="3" fillId="0" borderId="0" xfId="2" applyNumberFormat="1" applyFont="1" applyFill="1" applyAlignment="1">
      <alignment horizontal="right"/>
    </xf>
    <xf numFmtId="165" fontId="3" fillId="0" borderId="10" xfId="2" applyNumberFormat="1" applyFont="1" applyFill="1" applyBorder="1" applyAlignment="1">
      <alignment horizontal="right"/>
    </xf>
    <xf numFmtId="165" fontId="3" fillId="0" borderId="10" xfId="2" applyNumberFormat="1" applyFont="1" applyFill="1" applyBorder="1"/>
    <xf numFmtId="9" fontId="3" fillId="0" borderId="0" xfId="3" applyFont="1" applyFill="1"/>
    <xf numFmtId="165" fontId="8" fillId="0" borderId="0" xfId="2" applyNumberFormat="1" applyFont="1" applyFill="1" applyAlignment="1">
      <alignment horizontal="right"/>
    </xf>
    <xf numFmtId="165" fontId="0" fillId="0" borderId="0" xfId="2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right"/>
    </xf>
    <xf numFmtId="43" fontId="0" fillId="0" borderId="0" xfId="2" applyFont="1" applyFill="1" applyAlignment="1">
      <alignment horizontal="right"/>
    </xf>
    <xf numFmtId="14" fontId="0" fillId="0" borderId="0" xfId="2" applyNumberFormat="1" applyFont="1" applyFill="1"/>
    <xf numFmtId="43" fontId="0" fillId="0" borderId="0" xfId="2" applyFont="1" applyFill="1"/>
    <xf numFmtId="43" fontId="0" fillId="0" borderId="0" xfId="2" applyFont="1" applyFill="1" applyAlignment="1"/>
    <xf numFmtId="165" fontId="9" fillId="0" borderId="0" xfId="2" applyNumberFormat="1" applyFont="1" applyFill="1"/>
    <xf numFmtId="9" fontId="0" fillId="0" borderId="0" xfId="3" applyFont="1" applyFill="1"/>
    <xf numFmtId="165" fontId="9" fillId="0" borderId="0" xfId="2" applyNumberFormat="1" applyFont="1" applyAlignment="1">
      <alignment horizontal="right"/>
    </xf>
    <xf numFmtId="165" fontId="9" fillId="0" borderId="0" xfId="2" applyNumberFormat="1" applyFont="1"/>
    <xf numFmtId="43" fontId="0" fillId="0" borderId="1" xfId="2" applyFont="1" applyBorder="1"/>
    <xf numFmtId="165" fontId="10" fillId="0" borderId="0" xfId="2" applyNumberFormat="1" applyFont="1"/>
    <xf numFmtId="165" fontId="10" fillId="0" borderId="0" xfId="2" applyNumberFormat="1" applyFont="1" applyAlignment="1">
      <alignment horizontal="right"/>
    </xf>
    <xf numFmtId="165" fontId="10" fillId="0" borderId="0" xfId="2" applyNumberFormat="1" applyFont="1" applyFill="1"/>
    <xf numFmtId="165" fontId="11" fillId="0" borderId="0" xfId="2" applyNumberFormat="1" applyFont="1"/>
    <xf numFmtId="165" fontId="11" fillId="0" borderId="0" xfId="2" applyNumberFormat="1" applyFont="1" applyAlignment="1">
      <alignment horizontal="right"/>
    </xf>
    <xf numFmtId="165" fontId="12" fillId="0" borderId="0" xfId="2" applyNumberFormat="1" applyFont="1"/>
    <xf numFmtId="14" fontId="3" fillId="2" borderId="0" xfId="2" applyNumberFormat="1" applyFont="1" applyFill="1"/>
    <xf numFmtId="165" fontId="3" fillId="2" borderId="0" xfId="2" applyNumberFormat="1" applyFont="1" applyFill="1" applyAlignment="1">
      <alignment horizontal="right"/>
    </xf>
    <xf numFmtId="14" fontId="0" fillId="0" borderId="0" xfId="2" applyNumberFormat="1" applyFont="1"/>
    <xf numFmtId="14" fontId="3" fillId="0" borderId="0" xfId="2" applyNumberFormat="1" applyFont="1" applyFill="1"/>
    <xf numFmtId="43" fontId="0" fillId="0" borderId="0" xfId="1" applyFont="1"/>
    <xf numFmtId="165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/>
    <xf numFmtId="165" fontId="8" fillId="0" borderId="11" xfId="2" applyNumberFormat="1" applyFont="1" applyFill="1" applyBorder="1" applyAlignment="1">
      <alignment horizontal="right"/>
    </xf>
    <xf numFmtId="0" fontId="19" fillId="0" borderId="0" xfId="0" applyFont="1" applyAlignment="1">
      <alignment horizontal="center" wrapText="1"/>
    </xf>
    <xf numFmtId="0" fontId="0" fillId="3" borderId="0" xfId="0" applyFill="1"/>
    <xf numFmtId="165" fontId="19" fillId="5" borderId="0" xfId="1" applyNumberFormat="1" applyFont="1" applyFill="1" applyBorder="1" applyAlignment="1">
      <alignment horizontal="center" wrapText="1"/>
    </xf>
    <xf numFmtId="165" fontId="19" fillId="0" borderId="1" xfId="1" applyNumberFormat="1" applyFont="1" applyBorder="1" applyAlignment="1">
      <alignment horizontal="center" wrapText="1"/>
    </xf>
    <xf numFmtId="0" fontId="23" fillId="0" borderId="0" xfId="0" applyFont="1"/>
    <xf numFmtId="0" fontId="21" fillId="3" borderId="0" xfId="0" applyFont="1" applyFill="1"/>
    <xf numFmtId="0" fontId="24" fillId="0" borderId="0" xfId="0" applyFont="1"/>
    <xf numFmtId="0" fontId="24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165" fontId="24" fillId="0" borderId="0" xfId="1" applyNumberFormat="1" applyFont="1" applyAlignment="1">
      <alignment wrapText="1"/>
    </xf>
    <xf numFmtId="165" fontId="24" fillId="0" borderId="0" xfId="1" applyNumberFormat="1" applyFont="1" applyAlignment="1">
      <alignment horizontal="right" wrapText="1"/>
    </xf>
    <xf numFmtId="0" fontId="19" fillId="3" borderId="0" xfId="0" applyFont="1" applyFill="1" applyAlignment="1">
      <alignment horizontal="left" wrapText="1"/>
    </xf>
    <xf numFmtId="165" fontId="24" fillId="3" borderId="0" xfId="1" applyNumberFormat="1" applyFont="1" applyFill="1" applyAlignment="1">
      <alignment horizontal="right" wrapText="1"/>
    </xf>
    <xf numFmtId="0" fontId="24" fillId="3" borderId="0" xfId="0" applyFont="1" applyFill="1"/>
    <xf numFmtId="165" fontId="19" fillId="3" borderId="2" xfId="1" applyNumberFormat="1" applyFont="1" applyFill="1" applyBorder="1" applyAlignment="1">
      <alignment horizontal="right" wrapText="1"/>
    </xf>
    <xf numFmtId="0" fontId="19" fillId="4" borderId="0" xfId="0" applyFont="1" applyFill="1" applyAlignment="1">
      <alignment horizontal="left" wrapText="1"/>
    </xf>
    <xf numFmtId="165" fontId="19" fillId="4" borderId="0" xfId="1" applyNumberFormat="1" applyFont="1" applyFill="1" applyBorder="1" applyAlignment="1">
      <alignment horizontal="right" wrapText="1"/>
    </xf>
    <xf numFmtId="0" fontId="24" fillId="4" borderId="0" xfId="0" applyFont="1" applyFill="1"/>
    <xf numFmtId="165" fontId="24" fillId="3" borderId="0" xfId="1" applyNumberFormat="1" applyFont="1" applyFill="1" applyAlignment="1">
      <alignment wrapText="1"/>
    </xf>
    <xf numFmtId="165" fontId="19" fillId="0" borderId="0" xfId="1" applyNumberFormat="1" applyFont="1" applyBorder="1" applyAlignment="1">
      <alignment horizontal="right" wrapText="1"/>
    </xf>
    <xf numFmtId="0" fontId="24" fillId="0" borderId="0" xfId="0" applyFont="1" applyAlignment="1">
      <alignment horizontal="left" wrapText="1"/>
    </xf>
    <xf numFmtId="0" fontId="19" fillId="7" borderId="0" xfId="0" applyFont="1" applyFill="1" applyAlignment="1">
      <alignment horizontal="left" vertical="center" wrapText="1"/>
    </xf>
    <xf numFmtId="165" fontId="24" fillId="7" borderId="0" xfId="1" applyNumberFormat="1" applyFont="1" applyFill="1" applyAlignment="1">
      <alignment horizontal="right" wrapText="1"/>
    </xf>
    <xf numFmtId="0" fontId="24" fillId="7" borderId="0" xfId="0" applyFont="1" applyFill="1"/>
    <xf numFmtId="0" fontId="19" fillId="7" borderId="0" xfId="0" applyFont="1" applyFill="1" applyAlignment="1">
      <alignment horizontal="left" wrapText="1"/>
    </xf>
    <xf numFmtId="165" fontId="19" fillId="0" borderId="2" xfId="1" applyNumberFormat="1" applyFont="1" applyBorder="1" applyAlignment="1">
      <alignment horizontal="right" wrapText="1"/>
    </xf>
    <xf numFmtId="165" fontId="19" fillId="0" borderId="3" xfId="1" applyNumberFormat="1" applyFont="1" applyBorder="1" applyAlignment="1">
      <alignment horizontal="right" wrapText="1"/>
    </xf>
    <xf numFmtId="0" fontId="19" fillId="5" borderId="0" xfId="0" applyFont="1" applyFill="1" applyAlignment="1">
      <alignment horizontal="left" wrapText="1"/>
    </xf>
    <xf numFmtId="165" fontId="19" fillId="5" borderId="12" xfId="1" applyNumberFormat="1" applyFont="1" applyFill="1" applyBorder="1" applyAlignment="1">
      <alignment horizontal="right" wrapText="1"/>
    </xf>
    <xf numFmtId="0" fontId="24" fillId="5" borderId="0" xfId="0" applyFont="1" applyFill="1"/>
    <xf numFmtId="0" fontId="19" fillId="6" borderId="0" xfId="0" applyFont="1" applyFill="1" applyAlignment="1">
      <alignment horizontal="left" wrapText="1"/>
    </xf>
    <xf numFmtId="165" fontId="24" fillId="6" borderId="0" xfId="1" applyNumberFormat="1" applyFont="1" applyFill="1" applyAlignment="1">
      <alignment horizontal="right" wrapText="1"/>
    </xf>
    <xf numFmtId="0" fontId="24" fillId="6" borderId="0" xfId="0" applyFont="1" applyFill="1"/>
    <xf numFmtId="165" fontId="19" fillId="6" borderId="2" xfId="1" applyNumberFormat="1" applyFont="1" applyFill="1" applyBorder="1" applyAlignment="1">
      <alignment horizontal="right" wrapText="1"/>
    </xf>
    <xf numFmtId="165" fontId="25" fillId="0" borderId="0" xfId="1" applyNumberFormat="1" applyFont="1" applyAlignment="1">
      <alignment horizontal="right" wrapText="1"/>
    </xf>
    <xf numFmtId="165" fontId="26" fillId="0" borderId="0" xfId="1" applyNumberFormat="1" applyFont="1" applyAlignment="1">
      <alignment horizontal="right" wrapText="1"/>
    </xf>
    <xf numFmtId="0" fontId="27" fillId="0" borderId="0" xfId="0" applyFont="1" applyAlignment="1">
      <alignment horizontal="left" wrapText="1"/>
    </xf>
    <xf numFmtId="165" fontId="24" fillId="4" borderId="0" xfId="1" applyNumberFormat="1" applyFont="1" applyFill="1" applyAlignment="1">
      <alignment horizontal="right" wrapText="1"/>
    </xf>
    <xf numFmtId="0" fontId="28" fillId="0" borderId="0" xfId="0" applyFont="1" applyAlignment="1">
      <alignment horizontal="left" wrapText="1"/>
    </xf>
    <xf numFmtId="164" fontId="24" fillId="0" borderId="0" xfId="0" applyNumberFormat="1" applyFont="1"/>
    <xf numFmtId="165" fontId="19" fillId="5" borderId="13" xfId="1" applyNumberFormat="1" applyFont="1" applyFill="1" applyBorder="1" applyAlignment="1">
      <alignment horizontal="right" wrapText="1"/>
    </xf>
    <xf numFmtId="0" fontId="19" fillId="0" borderId="0" xfId="0" applyFont="1" applyAlignment="1">
      <alignment horizontal="center"/>
    </xf>
    <xf numFmtId="166" fontId="24" fillId="0" borderId="0" xfId="0" applyNumberFormat="1" applyFont="1" applyAlignment="1">
      <alignment horizontal="right" wrapText="1"/>
    </xf>
    <xf numFmtId="0" fontId="19" fillId="4" borderId="0" xfId="0" applyFont="1" applyFill="1" applyAlignment="1">
      <alignment horizontal="left" vertical="center" wrapText="1"/>
    </xf>
    <xf numFmtId="165" fontId="24" fillId="0" borderId="0" xfId="1" applyNumberFormat="1" applyFont="1"/>
    <xf numFmtId="165" fontId="19" fillId="3" borderId="0" xfId="1" applyNumberFormat="1" applyFont="1" applyFill="1" applyBorder="1" applyAlignment="1">
      <alignment horizontal="center" wrapText="1"/>
    </xf>
    <xf numFmtId="165" fontId="19" fillId="3" borderId="0" xfId="1" applyNumberFormat="1" applyFont="1" applyFill="1" applyBorder="1" applyAlignment="1">
      <alignment horizontal="right" wrapText="1"/>
    </xf>
    <xf numFmtId="166" fontId="13" fillId="3" borderId="12" xfId="0" applyNumberFormat="1" applyFont="1" applyFill="1" applyBorder="1" applyAlignment="1">
      <alignment horizontal="right" wrapText="1"/>
    </xf>
    <xf numFmtId="165" fontId="13" fillId="3" borderId="12" xfId="1" applyNumberFormat="1" applyFont="1" applyFill="1" applyBorder="1" applyAlignment="1">
      <alignment horizontal="right" wrapText="1"/>
    </xf>
    <xf numFmtId="165" fontId="19" fillId="5" borderId="2" xfId="1" applyNumberFormat="1" applyFont="1" applyFill="1" applyBorder="1" applyAlignment="1">
      <alignment horizontal="right" wrapText="1"/>
    </xf>
    <xf numFmtId="165" fontId="24" fillId="6" borderId="0" xfId="1" applyNumberFormat="1" applyFont="1" applyFill="1" applyAlignment="1">
      <alignment wrapText="1"/>
    </xf>
    <xf numFmtId="165" fontId="19" fillId="5" borderId="3" xfId="1" applyNumberFormat="1" applyFont="1" applyFill="1" applyBorder="1" applyAlignment="1">
      <alignment horizontal="right" wrapText="1"/>
    </xf>
    <xf numFmtId="0" fontId="19" fillId="5" borderId="0" xfId="0" applyFont="1" applyFill="1"/>
    <xf numFmtId="165" fontId="19" fillId="5" borderId="13" xfId="1" applyNumberFormat="1" applyFont="1" applyFill="1" applyBorder="1"/>
    <xf numFmtId="165" fontId="24" fillId="5" borderId="0" xfId="1" applyNumberFormat="1" applyFont="1" applyFill="1"/>
    <xf numFmtId="165" fontId="29" fillId="0" borderId="0" xfId="2" applyNumberFormat="1" applyFont="1"/>
    <xf numFmtId="165" fontId="8" fillId="2" borderId="6" xfId="2" applyNumberFormat="1" applyFont="1" applyFill="1" applyBorder="1" applyAlignment="1">
      <alignment horizontal="center"/>
    </xf>
    <xf numFmtId="165" fontId="8" fillId="2" borderId="14" xfId="2" applyNumberFormat="1" applyFont="1" applyFill="1" applyBorder="1" applyAlignment="1">
      <alignment horizontal="center"/>
    </xf>
    <xf numFmtId="165" fontId="8" fillId="2" borderId="9" xfId="2" applyNumberFormat="1" applyFont="1" applyFill="1" applyBorder="1" applyAlignment="1">
      <alignment horizontal="center" vertical="center"/>
    </xf>
    <xf numFmtId="165" fontId="8" fillId="0" borderId="0" xfId="2" applyNumberFormat="1" applyFont="1"/>
    <xf numFmtId="165" fontId="6" fillId="0" borderId="0" xfId="2" applyNumberFormat="1" applyFont="1"/>
    <xf numFmtId="165" fontId="0" fillId="0" borderId="1" xfId="2" applyNumberFormat="1" applyFont="1" applyBorder="1"/>
    <xf numFmtId="165" fontId="3" fillId="0" borderId="1" xfId="2" applyNumberFormat="1" applyFont="1" applyBorder="1"/>
    <xf numFmtId="165" fontId="30" fillId="0" borderId="0" xfId="2" applyNumberFormat="1" applyFont="1"/>
    <xf numFmtId="165" fontId="30" fillId="0" borderId="15" xfId="2" applyNumberFormat="1" applyFont="1" applyBorder="1"/>
    <xf numFmtId="165" fontId="1" fillId="0" borderId="0" xfId="2" applyNumberFormat="1" applyFont="1" applyFill="1" applyBorder="1" applyAlignment="1">
      <alignment horizontal="left"/>
    </xf>
    <xf numFmtId="165" fontId="3" fillId="0" borderId="0" xfId="2" applyNumberFormat="1" applyFont="1" applyBorder="1"/>
    <xf numFmtId="165" fontId="8" fillId="0" borderId="15" xfId="2" applyNumberFormat="1" applyFont="1" applyBorder="1"/>
    <xf numFmtId="165" fontId="22" fillId="0" borderId="0" xfId="2" applyNumberFormat="1" applyFont="1"/>
    <xf numFmtId="165" fontId="2" fillId="0" borderId="0" xfId="2" applyNumberFormat="1" applyFont="1"/>
    <xf numFmtId="43" fontId="22" fillId="0" borderId="0" xfId="2" applyFont="1"/>
    <xf numFmtId="165" fontId="22" fillId="0" borderId="13" xfId="2" applyNumberFormat="1" applyFont="1" applyBorder="1"/>
    <xf numFmtId="165" fontId="2" fillId="0" borderId="1" xfId="2" applyNumberFormat="1" applyFont="1" applyBorder="1"/>
    <xf numFmtId="165" fontId="2" fillId="0" borderId="15" xfId="2" applyNumberFormat="1" applyFont="1" applyBorder="1"/>
    <xf numFmtId="165" fontId="0" fillId="8" borderId="0" xfId="2" applyNumberFormat="1" applyFont="1" applyFill="1"/>
    <xf numFmtId="0" fontId="24" fillId="0" borderId="0" xfId="0" applyFont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3" fillId="0" borderId="0" xfId="0" applyFont="1"/>
    <xf numFmtId="165" fontId="5" fillId="2" borderId="4" xfId="2" quotePrefix="1" applyNumberFormat="1" applyFont="1" applyFill="1" applyBorder="1" applyAlignment="1">
      <alignment horizontal="center"/>
    </xf>
    <xf numFmtId="165" fontId="5" fillId="2" borderId="3" xfId="2" applyNumberFormat="1" applyFont="1" applyFill="1" applyBorder="1" applyAlignment="1">
      <alignment horizontal="center"/>
    </xf>
    <xf numFmtId="165" fontId="5" fillId="2" borderId="5" xfId="2" applyNumberFormat="1" applyFont="1" applyFill="1" applyBorder="1" applyAlignment="1">
      <alignment horizontal="center"/>
    </xf>
    <xf numFmtId="165" fontId="7" fillId="0" borderId="0" xfId="2" applyNumberFormat="1" applyFont="1" applyFill="1" applyBorder="1" applyAlignment="1">
      <alignment horizontal="center" wrapText="1"/>
    </xf>
  </cellXfs>
  <cellStyles count="4">
    <cellStyle name="Comma" xfId="1" builtinId="3"/>
    <cellStyle name="Comma 2" xfId="2" xr:uid="{0745CFB3-B2D6-45EC-8B9C-99E6C203A93D}"/>
    <cellStyle name="Normal" xfId="0" builtinId="0"/>
    <cellStyle name="Percent 2" xfId="3" xr:uid="{6D2C484B-CF88-418C-AA49-B6BE1460428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9481-2D3B-4F30-ABC6-9832C8D8AF2F}">
  <dimension ref="A1:E47"/>
  <sheetViews>
    <sheetView showGridLines="0" tabSelected="1" zoomScaleNormal="100" workbookViewId="0">
      <selection activeCell="I52" sqref="I52"/>
    </sheetView>
  </sheetViews>
  <sheetFormatPr baseColWidth="10" defaultColWidth="8.6640625" defaultRowHeight="15.75" customHeight="1" x14ac:dyDescent="0.2"/>
  <cols>
    <col min="1" max="1" width="1.5" style="3" customWidth="1"/>
    <col min="2" max="2" width="20.33203125" style="3" customWidth="1"/>
    <col min="3" max="3" width="34.6640625" style="3" customWidth="1"/>
    <col min="4" max="4" width="35.33203125" style="3" customWidth="1"/>
    <col min="5" max="16384" width="8.6640625" style="3"/>
  </cols>
  <sheetData>
    <row r="1" spans="1:4" s="103" customFormat="1" ht="15.75" customHeight="1" x14ac:dyDescent="0.25">
      <c r="A1" s="1" t="s">
        <v>128</v>
      </c>
      <c r="B1" s="13"/>
    </row>
    <row r="2" spans="1:4" s="103" customFormat="1" ht="15.75" customHeight="1" x14ac:dyDescent="0.25">
      <c r="A2" s="1" t="s">
        <v>231</v>
      </c>
      <c r="B2" s="13"/>
    </row>
    <row r="3" spans="1:4" s="103" customFormat="1" ht="15.75" customHeight="1" x14ac:dyDescent="0.25">
      <c r="A3" s="5" t="s">
        <v>232</v>
      </c>
      <c r="B3" s="13" t="s">
        <v>173</v>
      </c>
    </row>
    <row r="4" spans="1:4" ht="15.75" customHeight="1" x14ac:dyDescent="0.2">
      <c r="D4" s="104" t="s">
        <v>233</v>
      </c>
    </row>
    <row r="5" spans="1:4" ht="15.75" customHeight="1" x14ac:dyDescent="0.2">
      <c r="D5" s="105" t="s">
        <v>234</v>
      </c>
    </row>
    <row r="6" spans="1:4" ht="15.75" customHeight="1" x14ac:dyDescent="0.2">
      <c r="D6" s="106" t="s">
        <v>257</v>
      </c>
    </row>
    <row r="7" spans="1:4" ht="15.75" customHeight="1" x14ac:dyDescent="0.2">
      <c r="A7" s="107" t="s">
        <v>235</v>
      </c>
    </row>
    <row r="8" spans="1:4" ht="15.75" customHeight="1" x14ac:dyDescent="0.2">
      <c r="B8" s="108" t="s">
        <v>259</v>
      </c>
      <c r="D8" s="3">
        <f>+'FY25 Budget'!N28</f>
        <v>419000</v>
      </c>
    </row>
    <row r="9" spans="1:4" ht="15.75" customHeight="1" x14ac:dyDescent="0.2">
      <c r="B9" s="108" t="s">
        <v>237</v>
      </c>
      <c r="D9" s="3">
        <f>+'FY25 Budget'!N43</f>
        <v>142500</v>
      </c>
    </row>
    <row r="10" spans="1:4" ht="15.75" customHeight="1" x14ac:dyDescent="0.2">
      <c r="B10" s="108" t="s">
        <v>236</v>
      </c>
      <c r="D10" s="3">
        <f>+'FY25 Budget'!N14+'FY25 Budget'!N41</f>
        <v>58800</v>
      </c>
    </row>
    <row r="11" spans="1:4" ht="15.75" customHeight="1" x14ac:dyDescent="0.2">
      <c r="B11" s="108" t="s">
        <v>258</v>
      </c>
      <c r="D11" s="3">
        <f>+'FY25 Budget'!N34</f>
        <v>5000</v>
      </c>
    </row>
    <row r="12" spans="1:4" ht="15.75" customHeight="1" x14ac:dyDescent="0.2">
      <c r="B12" s="108" t="s">
        <v>238</v>
      </c>
      <c r="D12" s="3">
        <f>+'FY25 Budget'!N38</f>
        <v>6174</v>
      </c>
    </row>
    <row r="13" spans="1:4" ht="15.75" customHeight="1" x14ac:dyDescent="0.2">
      <c r="B13" s="108" t="s">
        <v>239</v>
      </c>
      <c r="D13" s="109">
        <f>+'FY25 Budget'!N19</f>
        <v>8000</v>
      </c>
    </row>
    <row r="14" spans="1:4" ht="15.75" hidden="1" customHeight="1" x14ac:dyDescent="0.2">
      <c r="B14" s="108" t="s">
        <v>240</v>
      </c>
      <c r="D14" s="3">
        <v>0</v>
      </c>
    </row>
    <row r="15" spans="1:4" ht="15.75" hidden="1" customHeight="1" x14ac:dyDescent="0.2">
      <c r="B15" s="108" t="s">
        <v>241</v>
      </c>
      <c r="D15" s="3">
        <v>0</v>
      </c>
    </row>
    <row r="16" spans="1:4" ht="15.75" hidden="1" customHeight="1" x14ac:dyDescent="0.3">
      <c r="B16" s="108" t="s">
        <v>242</v>
      </c>
      <c r="D16" s="31">
        <v>0</v>
      </c>
    </row>
    <row r="17" spans="1:5" ht="15.75" customHeight="1" x14ac:dyDescent="0.2">
      <c r="A17" s="107" t="s">
        <v>243</v>
      </c>
      <c r="D17" s="107">
        <f>SUM(D8:D16)</f>
        <v>639474</v>
      </c>
    </row>
    <row r="19" spans="1:5" ht="15.75" customHeight="1" x14ac:dyDescent="0.2">
      <c r="A19" s="107" t="s">
        <v>244</v>
      </c>
    </row>
    <row r="20" spans="1:5" ht="15.75" customHeight="1" x14ac:dyDescent="0.2">
      <c r="B20" s="13" t="s">
        <v>245</v>
      </c>
      <c r="D20" s="3">
        <f>+'FY25 Budget'!N67</f>
        <v>258186.72746153842</v>
      </c>
      <c r="E20" s="14"/>
    </row>
    <row r="21" spans="1:5" ht="15.75" customHeight="1" x14ac:dyDescent="0.2">
      <c r="B21" s="13" t="s">
        <v>246</v>
      </c>
      <c r="D21" s="3">
        <f>+'FY25 Budget'!N87</f>
        <v>49417.029999999992</v>
      </c>
    </row>
    <row r="22" spans="1:5" ht="15.75" customHeight="1" x14ac:dyDescent="0.2">
      <c r="B22" s="13" t="s">
        <v>247</v>
      </c>
      <c r="D22" s="3">
        <f>+'FY25 Budget'!N119</f>
        <v>27383.16</v>
      </c>
    </row>
    <row r="23" spans="1:5" ht="15.75" customHeight="1" x14ac:dyDescent="0.2">
      <c r="B23" s="13" t="s">
        <v>248</v>
      </c>
      <c r="D23" s="3">
        <f>+'FY25 Budget'!N98</f>
        <v>10836.819999999998</v>
      </c>
    </row>
    <row r="24" spans="1:5" ht="15.75" customHeight="1" x14ac:dyDescent="0.2">
      <c r="B24" s="13" t="s">
        <v>249</v>
      </c>
      <c r="D24" s="3">
        <f>+'FY25 Budget'!N110</f>
        <v>53860.05</v>
      </c>
    </row>
    <row r="25" spans="1:5" ht="15.75" customHeight="1" x14ac:dyDescent="0.2">
      <c r="B25" s="13" t="s">
        <v>250</v>
      </c>
      <c r="D25" s="3">
        <f>+'FY25 Budget'!N104</f>
        <v>10119.99</v>
      </c>
    </row>
    <row r="26" spans="1:5" ht="15.75" customHeight="1" x14ac:dyDescent="0.2">
      <c r="B26" s="13" t="s">
        <v>251</v>
      </c>
      <c r="D26" s="110">
        <f>+'FY25 Budget'!N126</f>
        <v>34810.97</v>
      </c>
    </row>
    <row r="27" spans="1:5" ht="15.75" customHeight="1" x14ac:dyDescent="0.2">
      <c r="A27" s="107" t="s">
        <v>252</v>
      </c>
      <c r="D27" s="107">
        <f>SUM(D20:D26)</f>
        <v>444614.74746153841</v>
      </c>
      <c r="E27" s="15"/>
    </row>
    <row r="28" spans="1:5" ht="15.75" customHeight="1" x14ac:dyDescent="0.2">
      <c r="A28" s="107"/>
      <c r="D28" s="107"/>
    </row>
    <row r="29" spans="1:5" s="111" customFormat="1" ht="15.75" customHeight="1" thickBot="1" x14ac:dyDescent="0.2">
      <c r="A29" s="111" t="s">
        <v>253</v>
      </c>
      <c r="D29" s="112">
        <f>D17-D27</f>
        <v>194859.25253846159</v>
      </c>
    </row>
    <row r="30" spans="1:5" ht="15.75" customHeight="1" thickTop="1" x14ac:dyDescent="0.2"/>
    <row r="32" spans="1:5" ht="15.75" customHeight="1" x14ac:dyDescent="0.2">
      <c r="A32" s="107" t="s">
        <v>254</v>
      </c>
      <c r="B32" s="107"/>
      <c r="C32" s="107"/>
      <c r="D32" s="107"/>
    </row>
    <row r="33" spans="1:4" ht="15.75" customHeight="1" x14ac:dyDescent="0.2">
      <c r="B33" s="113" t="s">
        <v>255</v>
      </c>
      <c r="D33" s="3">
        <f>+'FY25 Budget'!N163</f>
        <v>52300</v>
      </c>
    </row>
    <row r="34" spans="1:4" ht="15.75" customHeight="1" x14ac:dyDescent="0.2">
      <c r="B34" s="108" t="s">
        <v>260</v>
      </c>
      <c r="D34" s="3">
        <f>+'FY25 Budget'!N162</f>
        <v>85000</v>
      </c>
    </row>
    <row r="35" spans="1:4" ht="15.75" customHeight="1" x14ac:dyDescent="0.2">
      <c r="B35" s="108" t="s">
        <v>261</v>
      </c>
      <c r="D35" s="3">
        <f>+'FY25 Budget'!N164</f>
        <v>25000</v>
      </c>
    </row>
    <row r="36" spans="1:4" ht="15.75" hidden="1" customHeight="1" x14ac:dyDescent="0.2">
      <c r="B36" s="108" t="s">
        <v>256</v>
      </c>
      <c r="D36" s="110"/>
    </row>
    <row r="37" spans="1:4" ht="8" customHeight="1" x14ac:dyDescent="0.2">
      <c r="B37" s="108"/>
      <c r="D37" s="114"/>
    </row>
    <row r="38" spans="1:4" s="107" customFormat="1" ht="15.75" hidden="1" customHeight="1" x14ac:dyDescent="0.15">
      <c r="D38" s="107">
        <v>0</v>
      </c>
    </row>
    <row r="39" spans="1:4" s="107" customFormat="1" ht="15.75" customHeight="1" thickBot="1" x14ac:dyDescent="0.2">
      <c r="A39" s="107" t="s">
        <v>227</v>
      </c>
      <c r="D39" s="115">
        <f>SUM(D33:D35)</f>
        <v>162300</v>
      </c>
    </row>
    <row r="40" spans="1:4" s="107" customFormat="1" ht="8" customHeight="1" thickTop="1" x14ac:dyDescent="0.15"/>
    <row r="42" spans="1:4" ht="15.75" customHeight="1" thickBot="1" x14ac:dyDescent="0.25">
      <c r="A42" s="116" t="s">
        <v>262</v>
      </c>
      <c r="B42" s="117"/>
      <c r="C42" s="118"/>
      <c r="D42" s="119">
        <f>+'FY25 Budget'!N155</f>
        <v>500000</v>
      </c>
    </row>
    <row r="43" spans="1:4" ht="15.75" customHeight="1" thickTop="1" x14ac:dyDescent="0.2"/>
    <row r="44" spans="1:4" ht="15.75" customHeight="1" x14ac:dyDescent="0.2">
      <c r="A44" s="116" t="s">
        <v>263</v>
      </c>
      <c r="B44" s="117"/>
      <c r="C44" s="117"/>
      <c r="D44" s="117">
        <f>+'FY25 Budget'!B148+'FY25 Budget'!B6</f>
        <v>140580</v>
      </c>
    </row>
    <row r="45" spans="1:4" ht="15.75" customHeight="1" x14ac:dyDescent="0.2">
      <c r="A45" s="116" t="s">
        <v>264</v>
      </c>
      <c r="B45" s="117"/>
      <c r="C45" s="117"/>
      <c r="D45" s="120">
        <f>+'FY25 Budget'!M182</f>
        <v>643139.25253846159</v>
      </c>
    </row>
    <row r="46" spans="1:4" ht="15.75" customHeight="1" thickBot="1" x14ac:dyDescent="0.25">
      <c r="A46" s="116" t="s">
        <v>265</v>
      </c>
      <c r="B46" s="117"/>
      <c r="C46" s="117"/>
      <c r="D46" s="121">
        <f>+D45-D44</f>
        <v>502559.25253846159</v>
      </c>
    </row>
    <row r="47" spans="1:4" ht="15.75" customHeight="1" thickTop="1" x14ac:dyDescent="0.2">
      <c r="A47" s="117"/>
      <c r="B47" s="117"/>
      <c r="C47" s="117"/>
    </row>
  </sheetData>
  <pageMargins left="0.7" right="0.7" top="0.75" bottom="0.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3"/>
  <sheetViews>
    <sheetView zoomScale="117" zoomScaleNormal="120" workbookViewId="0">
      <pane ySplit="5" topLeftCell="A95" activePane="bottomLeft" state="frozen"/>
      <selection pane="bottomLeft" activeCell="O125" sqref="O125"/>
    </sheetView>
  </sheetViews>
  <sheetFormatPr baseColWidth="10" defaultColWidth="8.6640625" defaultRowHeight="12" x14ac:dyDescent="0.15"/>
  <cols>
    <col min="1" max="1" width="36.6640625" style="53" bestFit="1" customWidth="1"/>
    <col min="2" max="2" width="12" style="92" customWidth="1"/>
    <col min="3" max="11" width="11.1640625" style="92" customWidth="1"/>
    <col min="12" max="13" width="9.83203125" style="92" bestFit="1" customWidth="1"/>
    <col min="14" max="14" width="12" style="92" customWidth="1"/>
    <col min="15" max="15" width="43.5" style="53" bestFit="1" customWidth="1"/>
    <col min="16" max="16383" width="8.6640625" style="53"/>
    <col min="16384" max="16384" width="10.5" style="53" bestFit="1" customWidth="1"/>
  </cols>
  <sheetData>
    <row r="1" spans="1:15" s="51" customFormat="1" ht="13" x14ac:dyDescent="0.15">
      <c r="A1" s="125" t="s">
        <v>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5" s="51" customFormat="1" ht="13" x14ac:dyDescent="0.15">
      <c r="A2" s="125" t="s">
        <v>202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 s="51" customFormat="1" ht="13" x14ac:dyDescent="0.15">
      <c r="A3" s="125" t="s">
        <v>129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5" spans="1:15" ht="13" x14ac:dyDescent="0.15">
      <c r="A5" s="54"/>
      <c r="B5" s="50" t="s">
        <v>0</v>
      </c>
      <c r="C5" s="50" t="s">
        <v>1</v>
      </c>
      <c r="D5" s="50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0" t="s">
        <v>9</v>
      </c>
      <c r="L5" s="50" t="s">
        <v>10</v>
      </c>
      <c r="M5" s="50" t="s">
        <v>11</v>
      </c>
      <c r="N5" s="50" t="s">
        <v>12</v>
      </c>
      <c r="O5" s="47" t="s">
        <v>182</v>
      </c>
    </row>
    <row r="6" spans="1:15" ht="13" x14ac:dyDescent="0.15">
      <c r="A6" s="55" t="s">
        <v>203</v>
      </c>
      <c r="B6" s="49">
        <v>75008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3" x14ac:dyDescent="0.15">
      <c r="A7" s="56" t="s">
        <v>13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5" ht="13" hidden="1" x14ac:dyDescent="0.15">
      <c r="A8" s="56" t="s">
        <v>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5" s="61" customFormat="1" ht="13" x14ac:dyDescent="0.15">
      <c r="A9" s="59" t="s">
        <v>15</v>
      </c>
      <c r="B9" s="60">
        <f>0</f>
        <v>0</v>
      </c>
      <c r="C9" s="60">
        <f>0</f>
        <v>0</v>
      </c>
      <c r="D9" s="60">
        <f>0</f>
        <v>0</v>
      </c>
      <c r="E9" s="60">
        <f>0</f>
        <v>0</v>
      </c>
      <c r="F9" s="60">
        <f>0</f>
        <v>0</v>
      </c>
      <c r="G9" s="60">
        <f>0</f>
        <v>0</v>
      </c>
      <c r="H9" s="60">
        <f>0</f>
        <v>0</v>
      </c>
      <c r="I9" s="60">
        <f>0</f>
        <v>0</v>
      </c>
      <c r="J9" s="60">
        <f>0</f>
        <v>0</v>
      </c>
      <c r="K9" s="60">
        <f>0</f>
        <v>0</v>
      </c>
      <c r="L9" s="60">
        <f>0</f>
        <v>0</v>
      </c>
      <c r="M9" s="60">
        <f>0</f>
        <v>0</v>
      </c>
      <c r="N9" s="60">
        <f t="shared" ref="N9:N57" si="0">(((((((((((B9)+(C9))+(D9))+(E9))+(F9))+(G9))+(H9))+(I9))+(J9))+(K9))+(L9))+(M9)</f>
        <v>0</v>
      </c>
    </row>
    <row r="10" spans="1:15" ht="13" hidden="1" x14ac:dyDescent="0.15">
      <c r="A10" s="56" t="s">
        <v>16</v>
      </c>
      <c r="B10" s="58">
        <f>0</f>
        <v>0</v>
      </c>
      <c r="C10" s="58">
        <f>0</f>
        <v>0</v>
      </c>
      <c r="D10" s="58">
        <f>0</f>
        <v>0</v>
      </c>
      <c r="E10" s="58">
        <f>0</f>
        <v>0</v>
      </c>
      <c r="F10" s="58">
        <f>0</f>
        <v>0</v>
      </c>
      <c r="G10" s="58">
        <f>0</f>
        <v>0</v>
      </c>
      <c r="H10" s="58">
        <f>0</f>
        <v>0</v>
      </c>
      <c r="I10" s="58">
        <f>0</f>
        <v>0</v>
      </c>
      <c r="J10" s="58">
        <f>0</f>
        <v>0</v>
      </c>
      <c r="K10" s="58">
        <f>0</f>
        <v>0</v>
      </c>
      <c r="L10" s="58">
        <f>0</f>
        <v>0</v>
      </c>
      <c r="M10" s="58">
        <f>0</f>
        <v>0</v>
      </c>
      <c r="N10" s="58">
        <f t="shared" si="0"/>
        <v>0</v>
      </c>
    </row>
    <row r="11" spans="1:15" ht="13" hidden="1" x14ac:dyDescent="0.15">
      <c r="A11" s="56" t="s">
        <v>17</v>
      </c>
      <c r="B11" s="58">
        <f>0</f>
        <v>0</v>
      </c>
      <c r="C11" s="58">
        <f>0</f>
        <v>0</v>
      </c>
      <c r="D11" s="58">
        <f>0</f>
        <v>0</v>
      </c>
      <c r="E11" s="58">
        <f>0</f>
        <v>0</v>
      </c>
      <c r="F11" s="58">
        <f>0</f>
        <v>0</v>
      </c>
      <c r="G11" s="58">
        <f>0</f>
        <v>0</v>
      </c>
      <c r="H11" s="58">
        <f>0</f>
        <v>0</v>
      </c>
      <c r="I11" s="58">
        <f>0</f>
        <v>0</v>
      </c>
      <c r="J11" s="58">
        <f>0</f>
        <v>0</v>
      </c>
      <c r="K11" s="58">
        <f>0</f>
        <v>0</v>
      </c>
      <c r="L11" s="58">
        <f>0</f>
        <v>0</v>
      </c>
      <c r="M11" s="58">
        <f>0</f>
        <v>0</v>
      </c>
      <c r="N11" s="58">
        <f t="shared" si="0"/>
        <v>0</v>
      </c>
    </row>
    <row r="12" spans="1:15" ht="13" x14ac:dyDescent="0.15">
      <c r="A12" s="56" t="s">
        <v>18</v>
      </c>
      <c r="B12" s="58">
        <v>650</v>
      </c>
      <c r="C12" s="58">
        <v>650</v>
      </c>
      <c r="D12" s="58">
        <v>650</v>
      </c>
      <c r="E12" s="58">
        <v>650</v>
      </c>
      <c r="F12" s="58">
        <v>650</v>
      </c>
      <c r="G12" s="58">
        <v>650</v>
      </c>
      <c r="H12" s="58">
        <v>650</v>
      </c>
      <c r="I12" s="58">
        <v>650</v>
      </c>
      <c r="J12" s="58">
        <v>650</v>
      </c>
      <c r="K12" s="58">
        <v>650</v>
      </c>
      <c r="L12" s="58">
        <v>650</v>
      </c>
      <c r="M12" s="58">
        <v>650</v>
      </c>
      <c r="N12" s="58">
        <f t="shared" si="0"/>
        <v>7800</v>
      </c>
    </row>
    <row r="13" spans="1:15" ht="13" x14ac:dyDescent="0.15">
      <c r="A13" s="56" t="s">
        <v>19</v>
      </c>
      <c r="B13" s="58">
        <v>3000</v>
      </c>
      <c r="C13" s="58">
        <v>3000</v>
      </c>
      <c r="D13" s="58">
        <v>3000</v>
      </c>
      <c r="E13" s="58">
        <v>3000</v>
      </c>
      <c r="F13" s="58">
        <v>3000</v>
      </c>
      <c r="G13" s="58">
        <v>3000</v>
      </c>
      <c r="H13" s="58">
        <v>3000</v>
      </c>
      <c r="I13" s="58">
        <v>3000</v>
      </c>
      <c r="J13" s="58">
        <v>3000</v>
      </c>
      <c r="K13" s="58">
        <v>3000</v>
      </c>
      <c r="L13" s="58">
        <v>3000</v>
      </c>
      <c r="M13" s="58">
        <v>3000</v>
      </c>
      <c r="N13" s="58">
        <f t="shared" si="0"/>
        <v>36000</v>
      </c>
      <c r="O13" s="53" t="s">
        <v>204</v>
      </c>
    </row>
    <row r="14" spans="1:15" s="61" customFormat="1" ht="13" x14ac:dyDescent="0.15">
      <c r="A14" s="59" t="s">
        <v>20</v>
      </c>
      <c r="B14" s="62">
        <f t="shared" ref="B14:M14" si="1">((((B9)+(B10))+(B11))+(B12))+(B13)</f>
        <v>3650</v>
      </c>
      <c r="C14" s="62">
        <f t="shared" si="1"/>
        <v>3650</v>
      </c>
      <c r="D14" s="62">
        <f t="shared" si="1"/>
        <v>3650</v>
      </c>
      <c r="E14" s="62">
        <f t="shared" si="1"/>
        <v>3650</v>
      </c>
      <c r="F14" s="62">
        <f t="shared" si="1"/>
        <v>3650</v>
      </c>
      <c r="G14" s="62">
        <f t="shared" si="1"/>
        <v>3650</v>
      </c>
      <c r="H14" s="62">
        <f t="shared" si="1"/>
        <v>3650</v>
      </c>
      <c r="I14" s="62">
        <f t="shared" si="1"/>
        <v>3650</v>
      </c>
      <c r="J14" s="62">
        <f t="shared" si="1"/>
        <v>3650</v>
      </c>
      <c r="K14" s="62">
        <f t="shared" si="1"/>
        <v>3650</v>
      </c>
      <c r="L14" s="62">
        <f t="shared" si="1"/>
        <v>3650</v>
      </c>
      <c r="M14" s="62">
        <f t="shared" si="1"/>
        <v>3650</v>
      </c>
      <c r="N14" s="62">
        <f t="shared" si="0"/>
        <v>43800</v>
      </c>
    </row>
    <row r="15" spans="1:15" s="65" customFormat="1" x14ac:dyDescent="0.15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5" s="61" customFormat="1" ht="13" x14ac:dyDescent="0.15">
      <c r="A16" s="59" t="s">
        <v>21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5" ht="13" x14ac:dyDescent="0.15">
      <c r="A17" s="56" t="s">
        <v>22</v>
      </c>
      <c r="B17" s="58">
        <f>0</f>
        <v>0</v>
      </c>
      <c r="C17" s="58">
        <f>0</f>
        <v>0</v>
      </c>
      <c r="D17" s="58">
        <f>0</f>
        <v>0</v>
      </c>
      <c r="E17" s="58">
        <f>0</f>
        <v>0</v>
      </c>
      <c r="F17" s="58">
        <f>0</f>
        <v>0</v>
      </c>
      <c r="G17" s="58">
        <f>5000</f>
        <v>5000</v>
      </c>
      <c r="H17" s="58">
        <f>0</f>
        <v>0</v>
      </c>
      <c r="I17" s="58">
        <f>0</f>
        <v>0</v>
      </c>
      <c r="J17" s="58">
        <f>0</f>
        <v>0</v>
      </c>
      <c r="K17" s="58">
        <f>0</f>
        <v>0</v>
      </c>
      <c r="L17" s="58">
        <f>0</f>
        <v>0</v>
      </c>
      <c r="M17" s="58">
        <f>0</f>
        <v>0</v>
      </c>
      <c r="N17" s="58">
        <f t="shared" si="0"/>
        <v>5000</v>
      </c>
      <c r="O17" s="53" t="s">
        <v>205</v>
      </c>
    </row>
    <row r="18" spans="1:15" ht="13" x14ac:dyDescent="0.15">
      <c r="A18" s="56" t="s">
        <v>23</v>
      </c>
      <c r="B18" s="58">
        <f>0</f>
        <v>0</v>
      </c>
      <c r="C18" s="58">
        <f>0</f>
        <v>0</v>
      </c>
      <c r="D18" s="58">
        <f>0</f>
        <v>0</v>
      </c>
      <c r="E18" s="58">
        <f>0</f>
        <v>0</v>
      </c>
      <c r="F18" s="58">
        <v>500</v>
      </c>
      <c r="G18" s="58">
        <v>500</v>
      </c>
      <c r="H18" s="58">
        <v>1000</v>
      </c>
      <c r="I18" s="58">
        <v>500</v>
      </c>
      <c r="J18" s="58">
        <v>500</v>
      </c>
      <c r="K18" s="58">
        <f>0</f>
        <v>0</v>
      </c>
      <c r="L18" s="58">
        <f>0</f>
        <v>0</v>
      </c>
      <c r="M18" s="58">
        <f>0</f>
        <v>0</v>
      </c>
      <c r="N18" s="58">
        <f t="shared" si="0"/>
        <v>3000</v>
      </c>
      <c r="O18" s="53" t="s">
        <v>205</v>
      </c>
    </row>
    <row r="19" spans="1:15" s="61" customFormat="1" ht="13" x14ac:dyDescent="0.15">
      <c r="A19" s="59" t="s">
        <v>24</v>
      </c>
      <c r="B19" s="62">
        <f t="shared" ref="B19:M19" si="2">((B16)+(B17))+(B18)</f>
        <v>0</v>
      </c>
      <c r="C19" s="62">
        <f t="shared" si="2"/>
        <v>0</v>
      </c>
      <c r="D19" s="62">
        <f t="shared" si="2"/>
        <v>0</v>
      </c>
      <c r="E19" s="62">
        <f t="shared" si="2"/>
        <v>0</v>
      </c>
      <c r="F19" s="62">
        <f t="shared" si="2"/>
        <v>500</v>
      </c>
      <c r="G19" s="62">
        <f t="shared" si="2"/>
        <v>5500</v>
      </c>
      <c r="H19" s="62">
        <f t="shared" si="2"/>
        <v>1000</v>
      </c>
      <c r="I19" s="62">
        <f t="shared" si="2"/>
        <v>500</v>
      </c>
      <c r="J19" s="62">
        <f t="shared" si="2"/>
        <v>500</v>
      </c>
      <c r="K19" s="62">
        <f t="shared" si="2"/>
        <v>0</v>
      </c>
      <c r="L19" s="62">
        <f t="shared" si="2"/>
        <v>0</v>
      </c>
      <c r="M19" s="62">
        <f t="shared" si="2"/>
        <v>0</v>
      </c>
      <c r="N19" s="62">
        <f t="shared" si="0"/>
        <v>8000</v>
      </c>
    </row>
    <row r="20" spans="1:15" s="65" customFormat="1" x14ac:dyDescent="0.1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5" s="61" customFormat="1" ht="13" x14ac:dyDescent="0.15">
      <c r="A21" s="59" t="s">
        <v>25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0"/>
    </row>
    <row r="22" spans="1:15" ht="26" hidden="1" x14ac:dyDescent="0.15">
      <c r="A22" s="56" t="s">
        <v>26</v>
      </c>
      <c r="B22" s="58">
        <f>0</f>
        <v>0</v>
      </c>
      <c r="C22" s="58">
        <f>0</f>
        <v>0</v>
      </c>
      <c r="D22" s="58">
        <f>0</f>
        <v>0</v>
      </c>
      <c r="E22" s="58">
        <f>0</f>
        <v>0</v>
      </c>
      <c r="F22" s="58">
        <f>0</f>
        <v>0</v>
      </c>
      <c r="G22" s="58">
        <f>0</f>
        <v>0</v>
      </c>
      <c r="H22" s="58">
        <f>0</f>
        <v>0</v>
      </c>
      <c r="I22" s="58">
        <f>0</f>
        <v>0</v>
      </c>
      <c r="J22" s="58">
        <f>0</f>
        <v>0</v>
      </c>
      <c r="K22" s="58">
        <f>0</f>
        <v>0</v>
      </c>
      <c r="L22" s="58">
        <f>0</f>
        <v>0</v>
      </c>
      <c r="M22" s="58">
        <f>0</f>
        <v>0</v>
      </c>
      <c r="N22" s="58">
        <f t="shared" si="0"/>
        <v>0</v>
      </c>
    </row>
    <row r="23" spans="1:15" ht="13" hidden="1" x14ac:dyDescent="0.15">
      <c r="A23" s="56" t="s">
        <v>27</v>
      </c>
      <c r="B23" s="58">
        <f>0</f>
        <v>0</v>
      </c>
      <c r="C23" s="58">
        <f>0</f>
        <v>0</v>
      </c>
      <c r="D23" s="58">
        <f>0</f>
        <v>0</v>
      </c>
      <c r="E23" s="58">
        <f>0</f>
        <v>0</v>
      </c>
      <c r="F23" s="58">
        <f>0</f>
        <v>0</v>
      </c>
      <c r="G23" s="58">
        <f>0</f>
        <v>0</v>
      </c>
      <c r="H23" s="58">
        <f>0</f>
        <v>0</v>
      </c>
      <c r="I23" s="58">
        <f>0</f>
        <v>0</v>
      </c>
      <c r="J23" s="58">
        <f>0</f>
        <v>0</v>
      </c>
      <c r="K23" s="58">
        <f>0</f>
        <v>0</v>
      </c>
      <c r="L23" s="58">
        <f>0</f>
        <v>0</v>
      </c>
      <c r="M23" s="58">
        <f>0</f>
        <v>0</v>
      </c>
      <c r="N23" s="58">
        <f t="shared" si="0"/>
        <v>0</v>
      </c>
    </row>
    <row r="24" spans="1:15" ht="13" x14ac:dyDescent="0.15">
      <c r="A24" s="56" t="s">
        <v>207</v>
      </c>
      <c r="B24" s="58">
        <v>80000</v>
      </c>
      <c r="C24" s="58">
        <f>250000-80000-80000</f>
        <v>90000</v>
      </c>
      <c r="D24" s="58">
        <v>80000</v>
      </c>
      <c r="E24" s="58">
        <f>0</f>
        <v>0</v>
      </c>
      <c r="F24" s="58">
        <f>0</f>
        <v>0</v>
      </c>
      <c r="G24" s="58">
        <f>0</f>
        <v>0</v>
      </c>
      <c r="H24" s="58">
        <f>0</f>
        <v>0</v>
      </c>
      <c r="I24" s="58">
        <f>0</f>
        <v>0</v>
      </c>
      <c r="J24" s="58">
        <f>0</f>
        <v>0</v>
      </c>
      <c r="K24" s="58">
        <f>0</f>
        <v>0</v>
      </c>
      <c r="L24" s="58">
        <f>0</f>
        <v>0</v>
      </c>
      <c r="M24" s="58">
        <f>0</f>
        <v>0</v>
      </c>
      <c r="N24" s="58">
        <f t="shared" si="0"/>
        <v>250000</v>
      </c>
    </row>
    <row r="25" spans="1:15" ht="13" hidden="1" x14ac:dyDescent="0.15">
      <c r="A25" s="56" t="s">
        <v>28</v>
      </c>
      <c r="B25" s="58">
        <f>0</f>
        <v>0</v>
      </c>
      <c r="C25" s="58">
        <f>0</f>
        <v>0</v>
      </c>
      <c r="D25" s="58">
        <f>0</f>
        <v>0</v>
      </c>
      <c r="E25" s="58">
        <f>0</f>
        <v>0</v>
      </c>
      <c r="F25" s="58">
        <f>0</f>
        <v>0</v>
      </c>
      <c r="G25" s="58">
        <f>0</f>
        <v>0</v>
      </c>
      <c r="H25" s="58">
        <f>0</f>
        <v>0</v>
      </c>
      <c r="I25" s="58">
        <f>0</f>
        <v>0</v>
      </c>
      <c r="J25" s="58">
        <f>0</f>
        <v>0</v>
      </c>
      <c r="K25" s="58">
        <f>0</f>
        <v>0</v>
      </c>
      <c r="L25" s="58">
        <f>0</f>
        <v>0</v>
      </c>
      <c r="M25" s="58">
        <f>0</f>
        <v>0</v>
      </c>
      <c r="N25" s="58">
        <f t="shared" si="0"/>
        <v>0</v>
      </c>
    </row>
    <row r="26" spans="1:15" ht="13" x14ac:dyDescent="0.15">
      <c r="A26" s="56" t="s">
        <v>206</v>
      </c>
      <c r="B26" s="58">
        <f>0</f>
        <v>0</v>
      </c>
      <c r="C26" s="58">
        <v>5000</v>
      </c>
      <c r="D26" s="58">
        <v>31000</v>
      </c>
      <c r="E26" s="58">
        <v>30500</v>
      </c>
      <c r="F26" s="58">
        <f>3000</f>
        <v>3000</v>
      </c>
      <c r="G26" s="58">
        <f>0</f>
        <v>0</v>
      </c>
      <c r="H26" s="58">
        <f>0</f>
        <v>0</v>
      </c>
      <c r="I26" s="58">
        <f>5000</f>
        <v>5000</v>
      </c>
      <c r="J26" s="58">
        <f>34000</f>
        <v>34000</v>
      </c>
      <c r="K26" s="58">
        <v>30500</v>
      </c>
      <c r="L26" s="58">
        <f>0</f>
        <v>0</v>
      </c>
      <c r="M26" s="58">
        <f>0</f>
        <v>0</v>
      </c>
      <c r="N26" s="58">
        <f>(((((((((((B26)+(C26))+(D26))+(E26))+(F26))+(G26))+(H26))+(I26))+(J26))+(K26))+(L26))+(M26)</f>
        <v>139000</v>
      </c>
      <c r="O26" s="53" t="s">
        <v>216</v>
      </c>
    </row>
    <row r="27" spans="1:15" ht="13" x14ac:dyDescent="0.15">
      <c r="A27" s="56" t="s">
        <v>34</v>
      </c>
      <c r="B27" s="58">
        <f>0</f>
        <v>0</v>
      </c>
      <c r="C27" s="58">
        <f>0</f>
        <v>0</v>
      </c>
      <c r="D27" s="58">
        <f>0</f>
        <v>0</v>
      </c>
      <c r="E27" s="58">
        <f>0</f>
        <v>0</v>
      </c>
      <c r="F27" s="58">
        <f>0</f>
        <v>0</v>
      </c>
      <c r="G27" s="58">
        <f>0</f>
        <v>0</v>
      </c>
      <c r="H27" s="58">
        <f>0</f>
        <v>0</v>
      </c>
      <c r="I27" s="58">
        <f>0</f>
        <v>0</v>
      </c>
      <c r="J27" s="58">
        <v>15000</v>
      </c>
      <c r="K27" s="58">
        <v>15000</v>
      </c>
      <c r="L27" s="58">
        <f>0</f>
        <v>0</v>
      </c>
      <c r="M27" s="58">
        <f>0</f>
        <v>0</v>
      </c>
      <c r="N27" s="58">
        <f>(((((((((((B27)+(C27))+(D27))+(E27))+(F27))+(G27))+(H27))+(I27))+(J27))+(K27))+(L27))+(M27)</f>
        <v>30000</v>
      </c>
      <c r="O27" s="53" t="s">
        <v>269</v>
      </c>
    </row>
    <row r="28" spans="1:15" s="61" customFormat="1" ht="13" x14ac:dyDescent="0.15">
      <c r="A28" s="59" t="s">
        <v>29</v>
      </c>
      <c r="B28" s="62">
        <f>((((B21)+(B22))+(B23))+(B24))+(B25)+B26</f>
        <v>80000</v>
      </c>
      <c r="C28" s="62">
        <f t="shared" ref="C28:M28" si="3">((((C21)+(C22))+(C23))+(C24))+(C25)+C26</f>
        <v>95000</v>
      </c>
      <c r="D28" s="62">
        <f t="shared" si="3"/>
        <v>111000</v>
      </c>
      <c r="E28" s="62">
        <f t="shared" si="3"/>
        <v>30500</v>
      </c>
      <c r="F28" s="62">
        <f t="shared" si="3"/>
        <v>3000</v>
      </c>
      <c r="G28" s="62">
        <f t="shared" si="3"/>
        <v>0</v>
      </c>
      <c r="H28" s="62">
        <f t="shared" si="3"/>
        <v>0</v>
      </c>
      <c r="I28" s="62">
        <f t="shared" si="3"/>
        <v>5000</v>
      </c>
      <c r="J28" s="62">
        <f t="shared" si="3"/>
        <v>34000</v>
      </c>
      <c r="K28" s="62">
        <f t="shared" si="3"/>
        <v>30500</v>
      </c>
      <c r="L28" s="62">
        <f t="shared" si="3"/>
        <v>0</v>
      </c>
      <c r="M28" s="62">
        <f t="shared" si="3"/>
        <v>0</v>
      </c>
      <c r="N28" s="62">
        <f>((((N21)+(N22))+(N23))+(N24))+(N25)+(N26)+N27</f>
        <v>419000</v>
      </c>
    </row>
    <row r="29" spans="1:15" s="65" customFormat="1" x14ac:dyDescent="0.15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5" s="61" customFormat="1" ht="13" x14ac:dyDescent="0.15">
      <c r="A30" s="59" t="s">
        <v>30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5" ht="13" hidden="1" x14ac:dyDescent="0.15">
      <c r="A31" s="56" t="s">
        <v>31</v>
      </c>
      <c r="B31" s="58">
        <f>0</f>
        <v>0</v>
      </c>
      <c r="C31" s="58">
        <f>0</f>
        <v>0</v>
      </c>
      <c r="D31" s="58">
        <f>0</f>
        <v>0</v>
      </c>
      <c r="E31" s="58">
        <f>0</f>
        <v>0</v>
      </c>
      <c r="F31" s="58">
        <f>0</f>
        <v>0</v>
      </c>
      <c r="G31" s="58">
        <f>0</f>
        <v>0</v>
      </c>
      <c r="H31" s="58">
        <f>0</f>
        <v>0</v>
      </c>
      <c r="I31" s="58">
        <f>0</f>
        <v>0</v>
      </c>
      <c r="J31" s="58">
        <f>0</f>
        <v>0</v>
      </c>
      <c r="K31" s="58">
        <f>0</f>
        <v>0</v>
      </c>
      <c r="L31" s="58">
        <f>0</f>
        <v>0</v>
      </c>
      <c r="M31" s="58">
        <f>0</f>
        <v>0</v>
      </c>
      <c r="N31" s="58">
        <f t="shared" si="0"/>
        <v>0</v>
      </c>
    </row>
    <row r="32" spans="1:15" ht="13" x14ac:dyDescent="0.15">
      <c r="A32" s="56" t="s">
        <v>32</v>
      </c>
      <c r="B32" s="58">
        <f>0</f>
        <v>0</v>
      </c>
      <c r="C32" s="58">
        <f>0</f>
        <v>0</v>
      </c>
      <c r="D32" s="58">
        <f>0</f>
        <v>0</v>
      </c>
      <c r="E32" s="58">
        <f>0</f>
        <v>0</v>
      </c>
      <c r="F32" s="58">
        <f>0</f>
        <v>0</v>
      </c>
      <c r="G32" s="58">
        <f>0</f>
        <v>0</v>
      </c>
      <c r="H32" s="58">
        <f>0</f>
        <v>0</v>
      </c>
      <c r="I32" s="58">
        <f>0</f>
        <v>0</v>
      </c>
      <c r="J32" s="58">
        <f>0</f>
        <v>0</v>
      </c>
      <c r="K32" s="58">
        <f>0</f>
        <v>0</v>
      </c>
      <c r="L32" s="58">
        <f>0</f>
        <v>0</v>
      </c>
      <c r="M32" s="58">
        <v>5000</v>
      </c>
      <c r="N32" s="58">
        <f t="shared" si="0"/>
        <v>5000</v>
      </c>
    </row>
    <row r="33" spans="1:15" ht="13" hidden="1" x14ac:dyDescent="0.15">
      <c r="A33" s="56" t="s">
        <v>33</v>
      </c>
      <c r="B33" s="58">
        <f>0</f>
        <v>0</v>
      </c>
      <c r="C33" s="58">
        <f>0</f>
        <v>0</v>
      </c>
      <c r="D33" s="58">
        <f>0</f>
        <v>0</v>
      </c>
      <c r="E33" s="58">
        <f>0</f>
        <v>0</v>
      </c>
      <c r="F33" s="58">
        <f>0</f>
        <v>0</v>
      </c>
      <c r="G33" s="58">
        <f>0</f>
        <v>0</v>
      </c>
      <c r="H33" s="58">
        <f>0</f>
        <v>0</v>
      </c>
      <c r="I33" s="58">
        <f>0</f>
        <v>0</v>
      </c>
      <c r="J33" s="58">
        <f>0</f>
        <v>0</v>
      </c>
      <c r="K33" s="58">
        <f>0</f>
        <v>0</v>
      </c>
      <c r="L33" s="58">
        <f>0</f>
        <v>0</v>
      </c>
      <c r="M33" s="58">
        <f>0</f>
        <v>0</v>
      </c>
      <c r="N33" s="58">
        <f t="shared" si="0"/>
        <v>0</v>
      </c>
    </row>
    <row r="34" spans="1:15" s="61" customFormat="1" ht="13" x14ac:dyDescent="0.15">
      <c r="A34" s="59" t="s">
        <v>35</v>
      </c>
      <c r="B34" s="62">
        <f>((((B30)+(B31))+(B32))+(B33))</f>
        <v>0</v>
      </c>
      <c r="C34" s="62">
        <f t="shared" ref="C34:M34" si="4">((((C30)+(C31))+(C32))+(C33))</f>
        <v>0</v>
      </c>
      <c r="D34" s="62">
        <f t="shared" si="4"/>
        <v>0</v>
      </c>
      <c r="E34" s="62">
        <f t="shared" si="4"/>
        <v>0</v>
      </c>
      <c r="F34" s="62">
        <f t="shared" si="4"/>
        <v>0</v>
      </c>
      <c r="G34" s="62">
        <f t="shared" si="4"/>
        <v>0</v>
      </c>
      <c r="H34" s="62">
        <f t="shared" si="4"/>
        <v>0</v>
      </c>
      <c r="I34" s="62">
        <f t="shared" si="4"/>
        <v>0</v>
      </c>
      <c r="J34" s="62">
        <f t="shared" si="4"/>
        <v>0</v>
      </c>
      <c r="K34" s="62">
        <f t="shared" si="4"/>
        <v>0</v>
      </c>
      <c r="L34" s="62">
        <f t="shared" si="4"/>
        <v>0</v>
      </c>
      <c r="M34" s="62">
        <f t="shared" si="4"/>
        <v>5000</v>
      </c>
      <c r="N34" s="62">
        <f>(((((((((((B34)+(C34))+(D34))+(E34))+(F34))+(G34))+(H34))+(I34))+(J34))+(K34))+(L34))+(M34)</f>
        <v>5000</v>
      </c>
    </row>
    <row r="35" spans="1:15" x14ac:dyDescent="0.15">
      <c r="A35" s="5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1:15" ht="13" x14ac:dyDescent="0.15">
      <c r="A36" s="56" t="s">
        <v>36</v>
      </c>
      <c r="B36" s="58">
        <v>500</v>
      </c>
      <c r="C36" s="58">
        <v>500</v>
      </c>
      <c r="D36" s="58">
        <v>500</v>
      </c>
      <c r="E36" s="58">
        <v>500</v>
      </c>
      <c r="F36" s="58">
        <v>500</v>
      </c>
      <c r="G36" s="58">
        <v>500</v>
      </c>
      <c r="H36" s="58">
        <v>500</v>
      </c>
      <c r="I36" s="58">
        <v>500</v>
      </c>
      <c r="J36" s="58">
        <v>500</v>
      </c>
      <c r="K36" s="58">
        <v>500</v>
      </c>
      <c r="L36" s="58">
        <v>500</v>
      </c>
      <c r="M36" s="58">
        <v>500</v>
      </c>
      <c r="N36" s="58">
        <f t="shared" si="0"/>
        <v>6000</v>
      </c>
    </row>
    <row r="37" spans="1:15" ht="13" x14ac:dyDescent="0.15">
      <c r="A37" s="56" t="s">
        <v>37</v>
      </c>
      <c r="B37" s="58">
        <v>14.5</v>
      </c>
      <c r="C37" s="58">
        <v>14.5</v>
      </c>
      <c r="D37" s="58">
        <v>14.5</v>
      </c>
      <c r="E37" s="58">
        <v>14.5</v>
      </c>
      <c r="F37" s="58">
        <v>14.5</v>
      </c>
      <c r="G37" s="58">
        <v>14.5</v>
      </c>
      <c r="H37" s="58">
        <v>14.5</v>
      </c>
      <c r="I37" s="58">
        <v>14.5</v>
      </c>
      <c r="J37" s="58">
        <v>14.5</v>
      </c>
      <c r="K37" s="58">
        <v>14.5</v>
      </c>
      <c r="L37" s="58">
        <v>14.5</v>
      </c>
      <c r="M37" s="58">
        <v>14.5</v>
      </c>
      <c r="N37" s="58">
        <f t="shared" si="0"/>
        <v>174</v>
      </c>
    </row>
    <row r="38" spans="1:15" s="61" customFormat="1" ht="13" x14ac:dyDescent="0.15">
      <c r="A38" s="59" t="s">
        <v>38</v>
      </c>
      <c r="B38" s="62">
        <f>+B36+B37</f>
        <v>514.5</v>
      </c>
      <c r="C38" s="62">
        <f t="shared" ref="C38:N38" si="5">+C36+C37</f>
        <v>514.5</v>
      </c>
      <c r="D38" s="62">
        <f t="shared" si="5"/>
        <v>514.5</v>
      </c>
      <c r="E38" s="62">
        <f t="shared" si="5"/>
        <v>514.5</v>
      </c>
      <c r="F38" s="62">
        <f t="shared" si="5"/>
        <v>514.5</v>
      </c>
      <c r="G38" s="62">
        <f t="shared" si="5"/>
        <v>514.5</v>
      </c>
      <c r="H38" s="62">
        <f t="shared" si="5"/>
        <v>514.5</v>
      </c>
      <c r="I38" s="62">
        <f t="shared" si="5"/>
        <v>514.5</v>
      </c>
      <c r="J38" s="62">
        <f t="shared" si="5"/>
        <v>514.5</v>
      </c>
      <c r="K38" s="62">
        <f t="shared" si="5"/>
        <v>514.5</v>
      </c>
      <c r="L38" s="62">
        <f t="shared" si="5"/>
        <v>514.5</v>
      </c>
      <c r="M38" s="62">
        <f t="shared" si="5"/>
        <v>514.5</v>
      </c>
      <c r="N38" s="62">
        <f t="shared" si="5"/>
        <v>6174</v>
      </c>
    </row>
    <row r="39" spans="1:15" x14ac:dyDescent="0.15">
      <c r="A39" s="5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1:15" s="61" customFormat="1" ht="13" x14ac:dyDescent="0.15">
      <c r="A40" s="59" t="s">
        <v>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5" ht="13" x14ac:dyDescent="0.15">
      <c r="A41" s="56" t="s">
        <v>40</v>
      </c>
      <c r="B41" s="58">
        <v>0</v>
      </c>
      <c r="C41" s="58">
        <f>0</f>
        <v>0</v>
      </c>
      <c r="D41" s="58">
        <v>0</v>
      </c>
      <c r="E41" s="58">
        <v>0</v>
      </c>
      <c r="F41" s="58">
        <v>0</v>
      </c>
      <c r="G41" s="58">
        <v>0</v>
      </c>
      <c r="H41" s="58">
        <f>0</f>
        <v>0</v>
      </c>
      <c r="I41" s="58">
        <f>0</f>
        <v>0</v>
      </c>
      <c r="J41" s="58">
        <v>15000</v>
      </c>
      <c r="K41" s="58">
        <f>0</f>
        <v>0</v>
      </c>
      <c r="L41" s="58">
        <f>0</f>
        <v>0</v>
      </c>
      <c r="M41" s="58">
        <f>0</f>
        <v>0</v>
      </c>
      <c r="N41" s="58">
        <f t="shared" si="0"/>
        <v>15000</v>
      </c>
      <c r="O41" s="53" t="s">
        <v>179</v>
      </c>
    </row>
    <row r="42" spans="1:15" ht="13" hidden="1" x14ac:dyDescent="0.15">
      <c r="A42" s="56" t="s">
        <v>41</v>
      </c>
      <c r="B42" s="58">
        <f>0</f>
        <v>0</v>
      </c>
      <c r="C42" s="58">
        <v>0</v>
      </c>
      <c r="D42" s="58">
        <f>0</f>
        <v>0</v>
      </c>
      <c r="E42" s="58">
        <v>0</v>
      </c>
      <c r="F42" s="58">
        <f>0</f>
        <v>0</v>
      </c>
      <c r="G42" s="58">
        <f>0</f>
        <v>0</v>
      </c>
      <c r="H42" s="58">
        <v>0</v>
      </c>
      <c r="I42" s="58">
        <f>0</f>
        <v>0</v>
      </c>
      <c r="J42" s="58">
        <f>0</f>
        <v>0</v>
      </c>
      <c r="K42" s="58">
        <f>0</f>
        <v>0</v>
      </c>
      <c r="L42" s="58">
        <f>0</f>
        <v>0</v>
      </c>
      <c r="M42" s="58">
        <f>0</f>
        <v>0</v>
      </c>
      <c r="N42" s="58">
        <f t="shared" si="0"/>
        <v>0</v>
      </c>
    </row>
    <row r="43" spans="1:15" ht="26" x14ac:dyDescent="0.15">
      <c r="A43" s="56" t="s">
        <v>42</v>
      </c>
      <c r="B43" s="58">
        <v>0</v>
      </c>
      <c r="C43" s="58">
        <v>0</v>
      </c>
      <c r="D43" s="58">
        <f>0</f>
        <v>0</v>
      </c>
      <c r="E43" s="58">
        <f>10000</f>
        <v>10000</v>
      </c>
      <c r="F43" s="58">
        <f>5000+87500</f>
        <v>92500</v>
      </c>
      <c r="G43" s="58">
        <v>5000</v>
      </c>
      <c r="H43" s="58">
        <f>0</f>
        <v>0</v>
      </c>
      <c r="I43" s="58">
        <f>0</f>
        <v>0</v>
      </c>
      <c r="J43" s="58">
        <f>0</f>
        <v>0</v>
      </c>
      <c r="K43" s="58">
        <f>0</f>
        <v>0</v>
      </c>
      <c r="L43" s="58">
        <f>10000+25000</f>
        <v>35000</v>
      </c>
      <c r="M43" s="58">
        <f>0</f>
        <v>0</v>
      </c>
      <c r="N43" s="58">
        <f t="shared" si="0"/>
        <v>142500</v>
      </c>
      <c r="O43" s="68" t="s">
        <v>213</v>
      </c>
    </row>
    <row r="44" spans="1:15" s="61" customFormat="1" ht="13" x14ac:dyDescent="0.15">
      <c r="A44" s="59" t="s">
        <v>46</v>
      </c>
      <c r="B44" s="62">
        <f t="shared" ref="B44:N44" si="6">((((((B40)+(B41))+(B42))+(B43))+(B151))+(B152))+(B153)+B154</f>
        <v>0</v>
      </c>
      <c r="C44" s="62">
        <f t="shared" si="6"/>
        <v>0</v>
      </c>
      <c r="D44" s="62">
        <f t="shared" si="6"/>
        <v>0</v>
      </c>
      <c r="E44" s="62">
        <f t="shared" si="6"/>
        <v>10000</v>
      </c>
      <c r="F44" s="62">
        <f t="shared" si="6"/>
        <v>92500</v>
      </c>
      <c r="G44" s="62">
        <f t="shared" si="6"/>
        <v>5000</v>
      </c>
      <c r="H44" s="62">
        <f t="shared" si="6"/>
        <v>0</v>
      </c>
      <c r="I44" s="62">
        <f t="shared" si="6"/>
        <v>0</v>
      </c>
      <c r="J44" s="62">
        <f t="shared" si="6"/>
        <v>15000</v>
      </c>
      <c r="K44" s="62">
        <f t="shared" si="6"/>
        <v>0</v>
      </c>
      <c r="L44" s="62">
        <f t="shared" si="6"/>
        <v>35000</v>
      </c>
      <c r="M44" s="62">
        <f t="shared" si="6"/>
        <v>0</v>
      </c>
      <c r="N44" s="62">
        <f t="shared" si="6"/>
        <v>157500</v>
      </c>
    </row>
    <row r="45" spans="1:15" ht="13" hidden="1" x14ac:dyDescent="0.15">
      <c r="A45" s="56" t="s">
        <v>130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>
        <f t="shared" si="0"/>
        <v>0</v>
      </c>
    </row>
    <row r="46" spans="1:15" ht="13" hidden="1" x14ac:dyDescent="0.15">
      <c r="A46" s="56" t="s">
        <v>47</v>
      </c>
      <c r="B46" s="58">
        <f>0</f>
        <v>0</v>
      </c>
      <c r="C46" s="58">
        <f>0</f>
        <v>0</v>
      </c>
      <c r="D46" s="58">
        <f>0</f>
        <v>0</v>
      </c>
      <c r="E46" s="58">
        <f>0</f>
        <v>0</v>
      </c>
      <c r="F46" s="58">
        <f>0</f>
        <v>0</v>
      </c>
      <c r="G46" s="58">
        <f>0</f>
        <v>0</v>
      </c>
      <c r="H46" s="58">
        <f>0</f>
        <v>0</v>
      </c>
      <c r="I46" s="58">
        <f>0</f>
        <v>0</v>
      </c>
      <c r="J46" s="58">
        <f>0</f>
        <v>0</v>
      </c>
      <c r="K46" s="58">
        <f>0</f>
        <v>0</v>
      </c>
      <c r="L46" s="58">
        <f>0</f>
        <v>0</v>
      </c>
      <c r="M46" s="58">
        <f>0</f>
        <v>0</v>
      </c>
      <c r="N46" s="58">
        <f t="shared" si="0"/>
        <v>0</v>
      </c>
    </row>
    <row r="47" spans="1:15" ht="13" hidden="1" x14ac:dyDescent="0.15">
      <c r="A47" s="56" t="s">
        <v>48</v>
      </c>
      <c r="B47" s="58">
        <f>0</f>
        <v>0</v>
      </c>
      <c r="C47" s="58">
        <f>0</f>
        <v>0</v>
      </c>
      <c r="D47" s="58">
        <f>0</f>
        <v>0</v>
      </c>
      <c r="E47" s="58">
        <f>0</f>
        <v>0</v>
      </c>
      <c r="F47" s="58">
        <f>0</f>
        <v>0</v>
      </c>
      <c r="G47" s="58">
        <f>0</f>
        <v>0</v>
      </c>
      <c r="H47" s="58">
        <f>0</f>
        <v>0</v>
      </c>
      <c r="I47" s="58">
        <f>0</f>
        <v>0</v>
      </c>
      <c r="J47" s="58">
        <f>0</f>
        <v>0</v>
      </c>
      <c r="K47" s="58">
        <f>0</f>
        <v>0</v>
      </c>
      <c r="L47" s="58">
        <f>0</f>
        <v>0</v>
      </c>
      <c r="M47" s="58">
        <f>0</f>
        <v>0</v>
      </c>
      <c r="N47" s="58">
        <f t="shared" si="0"/>
        <v>0</v>
      </c>
    </row>
    <row r="48" spans="1:15" ht="13" hidden="1" x14ac:dyDescent="0.15">
      <c r="A48" s="56" t="s">
        <v>49</v>
      </c>
      <c r="B48" s="58">
        <f>0</f>
        <v>0</v>
      </c>
      <c r="C48" s="58">
        <f>0</f>
        <v>0</v>
      </c>
      <c r="D48" s="58">
        <f>0</f>
        <v>0</v>
      </c>
      <c r="E48" s="58">
        <f>0</f>
        <v>0</v>
      </c>
      <c r="F48" s="58">
        <f>0</f>
        <v>0</v>
      </c>
      <c r="G48" s="58">
        <f>0</f>
        <v>0</v>
      </c>
      <c r="H48" s="58">
        <f>0</f>
        <v>0</v>
      </c>
      <c r="I48" s="58">
        <f>0</f>
        <v>0</v>
      </c>
      <c r="J48" s="58">
        <f>0</f>
        <v>0</v>
      </c>
      <c r="K48" s="58">
        <f>0</f>
        <v>0</v>
      </c>
      <c r="L48" s="58">
        <f>0</f>
        <v>0</v>
      </c>
      <c r="M48" s="58">
        <f>0</f>
        <v>0</v>
      </c>
      <c r="N48" s="58">
        <f t="shared" si="0"/>
        <v>0</v>
      </c>
    </row>
    <row r="49" spans="1:14" ht="13" hidden="1" x14ac:dyDescent="0.15">
      <c r="A49" s="56" t="s">
        <v>50</v>
      </c>
      <c r="B49" s="58">
        <f>0</f>
        <v>0</v>
      </c>
      <c r="C49" s="58">
        <f>0</f>
        <v>0</v>
      </c>
      <c r="D49" s="58">
        <f>0</f>
        <v>0</v>
      </c>
      <c r="E49" s="58">
        <f>0</f>
        <v>0</v>
      </c>
      <c r="F49" s="58">
        <f>0</f>
        <v>0</v>
      </c>
      <c r="G49" s="58">
        <f>0</f>
        <v>0</v>
      </c>
      <c r="H49" s="58">
        <f>0</f>
        <v>0</v>
      </c>
      <c r="I49" s="58">
        <f>0</f>
        <v>0</v>
      </c>
      <c r="J49" s="58">
        <f>0</f>
        <v>0</v>
      </c>
      <c r="K49" s="58">
        <f>0</f>
        <v>0</v>
      </c>
      <c r="L49" s="58">
        <f>0</f>
        <v>0</v>
      </c>
      <c r="M49" s="58">
        <f>0</f>
        <v>0</v>
      </c>
      <c r="N49" s="58">
        <f t="shared" si="0"/>
        <v>0</v>
      </c>
    </row>
    <row r="50" spans="1:14" ht="13" hidden="1" x14ac:dyDescent="0.15">
      <c r="A50" s="56" t="s">
        <v>131</v>
      </c>
      <c r="B50" s="58">
        <f>0</f>
        <v>0</v>
      </c>
      <c r="C50" s="58">
        <f>0</f>
        <v>0</v>
      </c>
      <c r="D50" s="58">
        <f>0</f>
        <v>0</v>
      </c>
      <c r="E50" s="58">
        <f>0</f>
        <v>0</v>
      </c>
      <c r="F50" s="58">
        <f>0</f>
        <v>0</v>
      </c>
      <c r="G50" s="58">
        <f>0</f>
        <v>0</v>
      </c>
      <c r="H50" s="58">
        <f>0</f>
        <v>0</v>
      </c>
      <c r="I50" s="58">
        <f>0</f>
        <v>0</v>
      </c>
      <c r="J50" s="58">
        <f>0</f>
        <v>0</v>
      </c>
      <c r="K50" s="58">
        <f>0</f>
        <v>0</v>
      </c>
      <c r="L50" s="58">
        <f>0</f>
        <v>0</v>
      </c>
      <c r="M50" s="58">
        <f>0</f>
        <v>0</v>
      </c>
      <c r="N50" s="58">
        <f t="shared" si="0"/>
        <v>0</v>
      </c>
    </row>
    <row r="51" spans="1:14" ht="13" hidden="1" x14ac:dyDescent="0.15">
      <c r="A51" s="56" t="s">
        <v>51</v>
      </c>
      <c r="B51" s="58">
        <f>0</f>
        <v>0</v>
      </c>
      <c r="C51" s="58">
        <f>0</f>
        <v>0</v>
      </c>
      <c r="D51" s="58">
        <f>0</f>
        <v>0</v>
      </c>
      <c r="E51" s="58">
        <f>0</f>
        <v>0</v>
      </c>
      <c r="F51" s="58">
        <f>0</f>
        <v>0</v>
      </c>
      <c r="G51" s="58">
        <f>0</f>
        <v>0</v>
      </c>
      <c r="H51" s="58">
        <f>0</f>
        <v>0</v>
      </c>
      <c r="I51" s="58">
        <f>0</f>
        <v>0</v>
      </c>
      <c r="J51" s="58">
        <f>0</f>
        <v>0</v>
      </c>
      <c r="K51" s="58">
        <f>0</f>
        <v>0</v>
      </c>
      <c r="L51" s="58">
        <f>0</f>
        <v>0</v>
      </c>
      <c r="M51" s="58">
        <f>0</f>
        <v>0</v>
      </c>
      <c r="N51" s="58">
        <f t="shared" si="0"/>
        <v>0</v>
      </c>
    </row>
    <row r="52" spans="1:14" ht="13" hidden="1" x14ac:dyDescent="0.15">
      <c r="A52" s="56" t="s">
        <v>52</v>
      </c>
      <c r="B52" s="58">
        <f>0</f>
        <v>0</v>
      </c>
      <c r="C52" s="58">
        <f>0</f>
        <v>0</v>
      </c>
      <c r="D52" s="58">
        <f>0</f>
        <v>0</v>
      </c>
      <c r="E52" s="58">
        <f>0</f>
        <v>0</v>
      </c>
      <c r="F52" s="58">
        <f>0</f>
        <v>0</v>
      </c>
      <c r="G52" s="58">
        <f>0</f>
        <v>0</v>
      </c>
      <c r="H52" s="58">
        <f>0</f>
        <v>0</v>
      </c>
      <c r="I52" s="58">
        <f>0</f>
        <v>0</v>
      </c>
      <c r="J52" s="58">
        <f>0</f>
        <v>0</v>
      </c>
      <c r="K52" s="58">
        <f>0</f>
        <v>0</v>
      </c>
      <c r="L52" s="58">
        <f>0</f>
        <v>0</v>
      </c>
      <c r="M52" s="58">
        <f>0</f>
        <v>0</v>
      </c>
      <c r="N52" s="58">
        <f t="shared" si="0"/>
        <v>0</v>
      </c>
    </row>
    <row r="53" spans="1:14" ht="13" hidden="1" x14ac:dyDescent="0.15">
      <c r="A53" s="56" t="s">
        <v>53</v>
      </c>
      <c r="B53" s="73">
        <f t="shared" ref="B53:M53" si="7">(((((((B45)+(B46))+(B47))+(B48))+(B49))+(B50))+(B51))+(B52)</f>
        <v>0</v>
      </c>
      <c r="C53" s="73">
        <f t="shared" si="7"/>
        <v>0</v>
      </c>
      <c r="D53" s="73">
        <f t="shared" si="7"/>
        <v>0</v>
      </c>
      <c r="E53" s="73">
        <f t="shared" si="7"/>
        <v>0</v>
      </c>
      <c r="F53" s="73">
        <f t="shared" si="7"/>
        <v>0</v>
      </c>
      <c r="G53" s="73">
        <f t="shared" si="7"/>
        <v>0</v>
      </c>
      <c r="H53" s="73">
        <f t="shared" si="7"/>
        <v>0</v>
      </c>
      <c r="I53" s="73">
        <f t="shared" si="7"/>
        <v>0</v>
      </c>
      <c r="J53" s="73">
        <f t="shared" si="7"/>
        <v>0</v>
      </c>
      <c r="K53" s="73">
        <f t="shared" si="7"/>
        <v>0</v>
      </c>
      <c r="L53" s="73">
        <f t="shared" si="7"/>
        <v>0</v>
      </c>
      <c r="M53" s="73">
        <f t="shared" si="7"/>
        <v>0</v>
      </c>
      <c r="N53" s="73">
        <f t="shared" si="0"/>
        <v>0</v>
      </c>
    </row>
    <row r="54" spans="1:14" x14ac:dyDescent="0.15">
      <c r="A54" s="56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s="61" customFormat="1" ht="13" x14ac:dyDescent="0.15">
      <c r="A55" s="59" t="s">
        <v>54</v>
      </c>
      <c r="B55" s="62">
        <f t="shared" ref="B55:N55" si="8">+B44+B38+B34+B28+B19+B14</f>
        <v>84164.5</v>
      </c>
      <c r="C55" s="62">
        <f t="shared" si="8"/>
        <v>99164.5</v>
      </c>
      <c r="D55" s="62">
        <f t="shared" si="8"/>
        <v>115164.5</v>
      </c>
      <c r="E55" s="62">
        <f t="shared" si="8"/>
        <v>44664.5</v>
      </c>
      <c r="F55" s="62">
        <f t="shared" si="8"/>
        <v>100164.5</v>
      </c>
      <c r="G55" s="62">
        <f t="shared" si="8"/>
        <v>14664.5</v>
      </c>
      <c r="H55" s="62">
        <f t="shared" si="8"/>
        <v>5164.5</v>
      </c>
      <c r="I55" s="62">
        <f t="shared" si="8"/>
        <v>9664.5</v>
      </c>
      <c r="J55" s="62">
        <f t="shared" si="8"/>
        <v>53664.5</v>
      </c>
      <c r="K55" s="62">
        <f t="shared" si="8"/>
        <v>34664.5</v>
      </c>
      <c r="L55" s="62">
        <f t="shared" si="8"/>
        <v>39164.5</v>
      </c>
      <c r="M55" s="62">
        <f t="shared" si="8"/>
        <v>9164.5</v>
      </c>
      <c r="N55" s="62">
        <f t="shared" si="8"/>
        <v>639474</v>
      </c>
    </row>
    <row r="56" spans="1:14" x14ac:dyDescent="0.15">
      <c r="A56" s="56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s="77" customFormat="1" ht="13" x14ac:dyDescent="0.15">
      <c r="A57" s="75" t="s">
        <v>55</v>
      </c>
      <c r="B57" s="76">
        <f t="shared" ref="B57:M57" si="9">(B55)-(0)</f>
        <v>84164.5</v>
      </c>
      <c r="C57" s="76">
        <f t="shared" si="9"/>
        <v>99164.5</v>
      </c>
      <c r="D57" s="76">
        <f t="shared" si="9"/>
        <v>115164.5</v>
      </c>
      <c r="E57" s="76">
        <f t="shared" si="9"/>
        <v>44664.5</v>
      </c>
      <c r="F57" s="76">
        <f t="shared" si="9"/>
        <v>100164.5</v>
      </c>
      <c r="G57" s="76">
        <f t="shared" si="9"/>
        <v>14664.5</v>
      </c>
      <c r="H57" s="76">
        <f t="shared" si="9"/>
        <v>5164.5</v>
      </c>
      <c r="I57" s="76">
        <f t="shared" si="9"/>
        <v>9664.5</v>
      </c>
      <c r="J57" s="76">
        <f t="shared" si="9"/>
        <v>53664.5</v>
      </c>
      <c r="K57" s="76">
        <f t="shared" si="9"/>
        <v>34664.5</v>
      </c>
      <c r="L57" s="76">
        <f t="shared" si="9"/>
        <v>39164.5</v>
      </c>
      <c r="M57" s="76">
        <f t="shared" si="9"/>
        <v>9164.5</v>
      </c>
      <c r="N57" s="76">
        <f t="shared" si="0"/>
        <v>609474</v>
      </c>
    </row>
    <row r="58" spans="1:14" x14ac:dyDescent="0.15">
      <c r="A58" s="5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</row>
    <row r="59" spans="1:14" ht="13" x14ac:dyDescent="0.15">
      <c r="A59" s="56" t="s">
        <v>208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1:14" s="80" customFormat="1" ht="13" x14ac:dyDescent="0.15">
      <c r="A60" s="78" t="s">
        <v>56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</row>
    <row r="61" spans="1:14" ht="13" x14ac:dyDescent="0.15">
      <c r="A61" s="56" t="s">
        <v>57</v>
      </c>
      <c r="B61" s="58">
        <f>+Payroll!D7</f>
        <v>9213.8461538461543</v>
      </c>
      <c r="C61" s="58">
        <f>+Payroll!E7</f>
        <v>9213.8461538461543</v>
      </c>
      <c r="D61" s="58">
        <f>+Payroll!F7</f>
        <v>13820.76923076923</v>
      </c>
      <c r="E61" s="58">
        <f>+Payroll!G7</f>
        <v>9213.8461538461543</v>
      </c>
      <c r="F61" s="58">
        <f>+Payroll!H7</f>
        <v>9213.8461538461543</v>
      </c>
      <c r="G61" s="58">
        <f>+Payroll!I7</f>
        <v>9213.8461538461543</v>
      </c>
      <c r="H61" s="58">
        <f>+Payroll!J7</f>
        <v>9213.8461538461543</v>
      </c>
      <c r="I61" s="58">
        <f>+Payroll!K7</f>
        <v>9213.8461538461543</v>
      </c>
      <c r="J61" s="58">
        <f>+Payroll!L7</f>
        <v>13820.76923076923</v>
      </c>
      <c r="K61" s="58">
        <f>+Payroll!M7</f>
        <v>9213.8461538461543</v>
      </c>
      <c r="L61" s="58">
        <f>+Payroll!N7</f>
        <v>9213.8461538461543</v>
      </c>
      <c r="M61" s="58">
        <f>+Payroll!O7</f>
        <v>9213.8461538461543</v>
      </c>
      <c r="N61" s="58">
        <f t="shared" ref="N61:N95" si="10">(((((((((((B61)+(C61))+(D61))+(E61))+(F61))+(G61))+(H61))+(I61))+(J61))+(K61))+(L61))+(M61)</f>
        <v>119780.00000000001</v>
      </c>
    </row>
    <row r="62" spans="1:14" ht="13" x14ac:dyDescent="0.15">
      <c r="A62" s="56" t="s">
        <v>177</v>
      </c>
      <c r="B62" s="58">
        <f>+Payroll!D8</f>
        <v>4606.9230769230771</v>
      </c>
      <c r="C62" s="58">
        <f>+Payroll!E8</f>
        <v>4606.9230769230771</v>
      </c>
      <c r="D62" s="58">
        <f>+Payroll!F8</f>
        <v>6910.3846153846152</v>
      </c>
      <c r="E62" s="58">
        <f>+Payroll!G8</f>
        <v>4606.9230769230771</v>
      </c>
      <c r="F62" s="58">
        <f>+Payroll!H8</f>
        <v>4606.9230769230771</v>
      </c>
      <c r="G62" s="58">
        <f>+Payroll!I8</f>
        <v>4606.9230769230771</v>
      </c>
      <c r="H62" s="58">
        <f>+Payroll!J8</f>
        <v>4606.9230769230771</v>
      </c>
      <c r="I62" s="58">
        <f>+Payroll!K8</f>
        <v>4606.9230769230771</v>
      </c>
      <c r="J62" s="58">
        <f>+Payroll!L8</f>
        <v>6910.3846153846152</v>
      </c>
      <c r="K62" s="58">
        <f>+Payroll!M8</f>
        <v>4606.9230769230771</v>
      </c>
      <c r="L62" s="58">
        <f>+Payroll!N8</f>
        <v>4606.9230769230771</v>
      </c>
      <c r="M62" s="58">
        <f>+Payroll!O8</f>
        <v>4606.9230769230771</v>
      </c>
      <c r="N62" s="58">
        <f t="shared" si="10"/>
        <v>59890.000000000007</v>
      </c>
    </row>
    <row r="63" spans="1:14" ht="13" x14ac:dyDescent="0.15">
      <c r="A63" s="56" t="s">
        <v>195</v>
      </c>
      <c r="B63" s="58">
        <f>+Payroll!D9</f>
        <v>0</v>
      </c>
      <c r="C63" s="58">
        <f>+Payroll!E9</f>
        <v>0</v>
      </c>
      <c r="D63" s="58">
        <f>+Payroll!F9</f>
        <v>0</v>
      </c>
      <c r="E63" s="58">
        <f>+Payroll!G9</f>
        <v>0</v>
      </c>
      <c r="F63" s="58">
        <f>+Payroll!H9</f>
        <v>0</v>
      </c>
      <c r="G63" s="58">
        <f>+Payroll!I9</f>
        <v>0</v>
      </c>
      <c r="H63" s="58">
        <f>+Payroll!J9</f>
        <v>4615.3846153846152</v>
      </c>
      <c r="I63" s="58">
        <f>+Payroll!K9</f>
        <v>4615.3846153846152</v>
      </c>
      <c r="J63" s="58">
        <f>+Payroll!L9</f>
        <v>6923.0769230769229</v>
      </c>
      <c r="K63" s="58">
        <f>+Payroll!M9</f>
        <v>4615.3846153846152</v>
      </c>
      <c r="L63" s="58">
        <f>+Payroll!N9</f>
        <v>4615.3846153846152</v>
      </c>
      <c r="M63" s="58">
        <f>+Payroll!O9</f>
        <v>4615.3846153846152</v>
      </c>
      <c r="N63" s="58">
        <f t="shared" si="10"/>
        <v>30000</v>
      </c>
    </row>
    <row r="64" spans="1:14" ht="13" x14ac:dyDescent="0.15">
      <c r="A64" s="56" t="s">
        <v>58</v>
      </c>
      <c r="B64" s="58">
        <f>+Payroll!D19</f>
        <v>1751</v>
      </c>
      <c r="C64" s="58">
        <f>+Payroll!E19</f>
        <v>1751</v>
      </c>
      <c r="D64" s="58">
        <f>+Payroll!F19</f>
        <v>1891.08</v>
      </c>
      <c r="E64" s="58">
        <f>+Payroll!G19</f>
        <v>1891.08</v>
      </c>
      <c r="F64" s="58">
        <f>+Payroll!H19</f>
        <v>1891.08</v>
      </c>
      <c r="G64" s="58">
        <f>+Payroll!I19</f>
        <v>1891.08</v>
      </c>
      <c r="H64" s="58">
        <f>+Payroll!J19</f>
        <v>2453.48</v>
      </c>
      <c r="I64" s="58">
        <f>+Payroll!K19</f>
        <v>2453.48</v>
      </c>
      <c r="J64" s="58">
        <f>+Payroll!L19</f>
        <v>2453.48</v>
      </c>
      <c r="K64" s="58">
        <f>+Payroll!M19</f>
        <v>2453.48</v>
      </c>
      <c r="L64" s="58">
        <f>+Payroll!N19</f>
        <v>2453.48</v>
      </c>
      <c r="M64" s="58">
        <f>+Payroll!O19</f>
        <v>2453.48</v>
      </c>
      <c r="N64" s="58">
        <f t="shared" si="10"/>
        <v>25787.199999999997</v>
      </c>
    </row>
    <row r="65" spans="1:15" ht="13" x14ac:dyDescent="0.15">
      <c r="A65" s="56" t="s">
        <v>186</v>
      </c>
      <c r="B65" s="58">
        <f>+Payroll!D26</f>
        <v>414.62307692307689</v>
      </c>
      <c r="C65" s="58">
        <f>+Payroll!E26</f>
        <v>414.62307692307689</v>
      </c>
      <c r="D65" s="58">
        <f>+Payroll!F26</f>
        <v>621.93461538461531</v>
      </c>
      <c r="E65" s="58">
        <f>+Payroll!G26</f>
        <v>414.62307692307689</v>
      </c>
      <c r="F65" s="58">
        <f>+Payroll!H26</f>
        <v>414.62307692307689</v>
      </c>
      <c r="G65" s="58">
        <f>+Payroll!I26</f>
        <v>414.62307692307689</v>
      </c>
      <c r="H65" s="58">
        <f>+Payroll!J26</f>
        <v>553.08461538461529</v>
      </c>
      <c r="I65" s="58">
        <f>+Payroll!K26</f>
        <v>553.08461538461529</v>
      </c>
      <c r="J65" s="58">
        <f>+Payroll!L26</f>
        <v>829.62692307692305</v>
      </c>
      <c r="K65" s="58">
        <f>+Payroll!M26</f>
        <v>553.08461538461529</v>
      </c>
      <c r="L65" s="58">
        <f>+Payroll!N26</f>
        <v>553.08461538461529</v>
      </c>
      <c r="M65" s="58">
        <f>+Payroll!O26</f>
        <v>553.08461538461529</v>
      </c>
      <c r="N65" s="58">
        <f t="shared" si="10"/>
        <v>6290.0999999999985</v>
      </c>
      <c r="O65" s="53" t="s">
        <v>198</v>
      </c>
    </row>
    <row r="66" spans="1:15" ht="13" x14ac:dyDescent="0.15">
      <c r="A66" s="56" t="s">
        <v>59</v>
      </c>
      <c r="B66" s="58">
        <f>+Payroll!D43</f>
        <v>1277.5767692307693</v>
      </c>
      <c r="C66" s="58">
        <f>+Payroll!E43</f>
        <v>1174.6733846153847</v>
      </c>
      <c r="D66" s="58">
        <f>+Payroll!F43</f>
        <v>1640.9332692307694</v>
      </c>
      <c r="E66" s="58">
        <f>+Payroll!G43</f>
        <v>1057.2888461538462</v>
      </c>
      <c r="F66" s="58">
        <f>+Payroll!H43</f>
        <v>1057.2888461538462</v>
      </c>
      <c r="G66" s="58">
        <f>+Payroll!I43</f>
        <v>1057.2888461538462</v>
      </c>
      <c r="H66" s="58">
        <f>+Payroll!J43</f>
        <v>1417.3657692307693</v>
      </c>
      <c r="I66" s="58">
        <f>+Payroll!K43</f>
        <v>1410.3657692307693</v>
      </c>
      <c r="J66" s="58">
        <f>+Payroll!L43</f>
        <v>2115.5486538461541</v>
      </c>
      <c r="K66" s="58">
        <f>+Payroll!M43</f>
        <v>1410.3657692307693</v>
      </c>
      <c r="L66" s="58">
        <f>+Payroll!N43</f>
        <v>1410.3657692307693</v>
      </c>
      <c r="M66" s="58">
        <f>+Payroll!O43</f>
        <v>1410.3657692307693</v>
      </c>
      <c r="N66" s="58">
        <f t="shared" si="10"/>
        <v>16439.427461538464</v>
      </c>
    </row>
    <row r="67" spans="1:15" s="80" customFormat="1" ht="13" x14ac:dyDescent="0.15">
      <c r="A67" s="78" t="s">
        <v>60</v>
      </c>
      <c r="B67" s="81">
        <f>(((((B60)+(B61))+(B62))+(B63))+(B64))+(B66)+B65</f>
        <v>17263.969076923076</v>
      </c>
      <c r="C67" s="81">
        <f t="shared" ref="C67:M67" si="11">(((((C60)+(C61))+(C62))+(C63))+(C64))+(C66)+C65</f>
        <v>17161.065692307689</v>
      </c>
      <c r="D67" s="81">
        <f t="shared" si="11"/>
        <v>24885.101730769231</v>
      </c>
      <c r="E67" s="81">
        <f t="shared" si="11"/>
        <v>17183.761153846153</v>
      </c>
      <c r="F67" s="81">
        <f t="shared" si="11"/>
        <v>17183.761153846153</v>
      </c>
      <c r="G67" s="81">
        <f t="shared" si="11"/>
        <v>17183.761153846153</v>
      </c>
      <c r="H67" s="81">
        <f t="shared" si="11"/>
        <v>22860.084230769226</v>
      </c>
      <c r="I67" s="81">
        <f t="shared" si="11"/>
        <v>22853.084230769226</v>
      </c>
      <c r="J67" s="81">
        <f t="shared" si="11"/>
        <v>33052.886346153842</v>
      </c>
      <c r="K67" s="81">
        <f t="shared" si="11"/>
        <v>22853.084230769226</v>
      </c>
      <c r="L67" s="81">
        <f t="shared" si="11"/>
        <v>22853.084230769226</v>
      </c>
      <c r="M67" s="81">
        <f t="shared" si="11"/>
        <v>22853.084230769226</v>
      </c>
      <c r="N67" s="81">
        <f t="shared" si="10"/>
        <v>258186.72746153842</v>
      </c>
    </row>
    <row r="68" spans="1:15" x14ac:dyDescent="0.15">
      <c r="A68" s="56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</row>
    <row r="69" spans="1:15" s="80" customFormat="1" ht="13" x14ac:dyDescent="0.15">
      <c r="A69" s="78" t="s">
        <v>61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</row>
    <row r="70" spans="1:15" ht="13" x14ac:dyDescent="0.15">
      <c r="A70" s="56" t="s">
        <v>62</v>
      </c>
      <c r="B70" s="58">
        <f>113.21</f>
        <v>113.21</v>
      </c>
      <c r="C70" s="58">
        <f>73.26</f>
        <v>73.260000000000005</v>
      </c>
      <c r="D70" s="58">
        <f>109.89</f>
        <v>109.89</v>
      </c>
      <c r="E70" s="58">
        <f>113.21</f>
        <v>113.21</v>
      </c>
      <c r="F70" s="58">
        <f>73.26</f>
        <v>73.260000000000005</v>
      </c>
      <c r="G70" s="58">
        <f>73.26</f>
        <v>73.260000000000005</v>
      </c>
      <c r="H70" s="58">
        <f>277.48</f>
        <v>277.48</v>
      </c>
      <c r="I70" s="58">
        <f>111.21</f>
        <v>111.21</v>
      </c>
      <c r="J70" s="58">
        <f>75.9</f>
        <v>75.900000000000006</v>
      </c>
      <c r="K70" s="58">
        <f t="shared" ref="K70:M70" si="12">75.9</f>
        <v>75.900000000000006</v>
      </c>
      <c r="L70" s="58">
        <f t="shared" si="12"/>
        <v>75.900000000000006</v>
      </c>
      <c r="M70" s="58">
        <f t="shared" si="12"/>
        <v>75.900000000000006</v>
      </c>
      <c r="N70" s="58">
        <f t="shared" si="10"/>
        <v>1248.3800000000003</v>
      </c>
    </row>
    <row r="71" spans="1:15" ht="13" x14ac:dyDescent="0.15">
      <c r="A71" s="56" t="s">
        <v>63</v>
      </c>
      <c r="B71" s="58">
        <f>0</f>
        <v>0</v>
      </c>
      <c r="C71" s="58">
        <f>0</f>
        <v>0</v>
      </c>
      <c r="D71" s="58">
        <f>0</f>
        <v>0</v>
      </c>
      <c r="E71" s="58">
        <f>0</f>
        <v>0</v>
      </c>
      <c r="F71" s="58">
        <f>877.15</f>
        <v>877.15</v>
      </c>
      <c r="G71" s="58">
        <f>0</f>
        <v>0</v>
      </c>
      <c r="H71" s="58">
        <f>0</f>
        <v>0</v>
      </c>
      <c r="I71" s="58">
        <f>0</f>
        <v>0</v>
      </c>
      <c r="J71" s="58">
        <f>0</f>
        <v>0</v>
      </c>
      <c r="K71" s="58">
        <f>0</f>
        <v>0</v>
      </c>
      <c r="L71" s="58">
        <f>0</f>
        <v>0</v>
      </c>
      <c r="M71" s="58">
        <f>0</f>
        <v>0</v>
      </c>
      <c r="N71" s="58">
        <f t="shared" si="10"/>
        <v>877.15</v>
      </c>
    </row>
    <row r="72" spans="1:15" ht="13" x14ac:dyDescent="0.15">
      <c r="A72" s="56" t="s">
        <v>64</v>
      </c>
      <c r="B72" s="58">
        <v>1890</v>
      </c>
      <c r="C72" s="58">
        <v>1890</v>
      </c>
      <c r="D72" s="58">
        <f>1890</f>
        <v>1890</v>
      </c>
      <c r="E72" s="58">
        <f>1890</f>
        <v>1890</v>
      </c>
      <c r="F72" s="58">
        <f>1890</f>
        <v>1890</v>
      </c>
      <c r="G72" s="58">
        <f>1890</f>
        <v>1890</v>
      </c>
      <c r="H72" s="58">
        <f>1890</f>
        <v>1890</v>
      </c>
      <c r="I72" s="58">
        <f>1890</f>
        <v>1890</v>
      </c>
      <c r="J72" s="58">
        <v>2000</v>
      </c>
      <c r="K72" s="58">
        <f>1890</f>
        <v>1890</v>
      </c>
      <c r="L72" s="58">
        <f>1890</f>
        <v>1890</v>
      </c>
      <c r="M72" s="58">
        <f>1890</f>
        <v>1890</v>
      </c>
      <c r="N72" s="58">
        <f t="shared" si="10"/>
        <v>22790</v>
      </c>
      <c r="O72" s="53" t="s">
        <v>183</v>
      </c>
    </row>
    <row r="73" spans="1:15" ht="13" x14ac:dyDescent="0.15">
      <c r="A73" s="56" t="s">
        <v>196</v>
      </c>
      <c r="B73" s="58">
        <v>100</v>
      </c>
      <c r="C73" s="58">
        <v>100</v>
      </c>
      <c r="D73" s="58">
        <v>100</v>
      </c>
      <c r="E73" s="58">
        <v>100</v>
      </c>
      <c r="F73" s="58">
        <v>100</v>
      </c>
      <c r="G73" s="58">
        <v>100</v>
      </c>
      <c r="H73" s="58">
        <v>100</v>
      </c>
      <c r="I73" s="58">
        <v>100</v>
      </c>
      <c r="J73" s="58">
        <v>100</v>
      </c>
      <c r="K73" s="58">
        <v>100</v>
      </c>
      <c r="L73" s="58">
        <v>100</v>
      </c>
      <c r="M73" s="58">
        <v>100</v>
      </c>
      <c r="N73" s="58">
        <f t="shared" si="10"/>
        <v>1200</v>
      </c>
      <c r="O73" s="53" t="s">
        <v>197</v>
      </c>
    </row>
    <row r="74" spans="1:15" ht="13" x14ac:dyDescent="0.15">
      <c r="A74" s="56" t="s">
        <v>65</v>
      </c>
      <c r="B74" s="58">
        <v>110</v>
      </c>
      <c r="C74" s="58">
        <v>110</v>
      </c>
      <c r="D74" s="58">
        <v>110</v>
      </c>
      <c r="E74" s="58">
        <v>110</v>
      </c>
      <c r="F74" s="58">
        <v>110</v>
      </c>
      <c r="G74" s="58">
        <v>110</v>
      </c>
      <c r="H74" s="58">
        <v>110</v>
      </c>
      <c r="I74" s="58">
        <v>110</v>
      </c>
      <c r="J74" s="58">
        <v>110</v>
      </c>
      <c r="K74" s="58">
        <v>110</v>
      </c>
      <c r="L74" s="58">
        <v>110</v>
      </c>
      <c r="M74" s="58">
        <v>110</v>
      </c>
      <c r="N74" s="58">
        <f t="shared" si="10"/>
        <v>1320</v>
      </c>
    </row>
    <row r="75" spans="1:15" ht="13" hidden="1" x14ac:dyDescent="0.15">
      <c r="A75" s="56" t="s">
        <v>66</v>
      </c>
      <c r="B75" s="58">
        <f>0</f>
        <v>0</v>
      </c>
      <c r="C75" s="58">
        <f>0</f>
        <v>0</v>
      </c>
      <c r="D75" s="58">
        <f>0</f>
        <v>0</v>
      </c>
      <c r="E75" s="58">
        <f>0</f>
        <v>0</v>
      </c>
      <c r="F75" s="58">
        <f>0</f>
        <v>0</v>
      </c>
      <c r="G75" s="58">
        <f>0</f>
        <v>0</v>
      </c>
      <c r="H75" s="58">
        <f>0</f>
        <v>0</v>
      </c>
      <c r="I75" s="58">
        <f>0</f>
        <v>0</v>
      </c>
      <c r="J75" s="58">
        <f>0</f>
        <v>0</v>
      </c>
      <c r="K75" s="58">
        <f>0</f>
        <v>0</v>
      </c>
      <c r="L75" s="58">
        <f>0</f>
        <v>0</v>
      </c>
      <c r="M75" s="58">
        <f>0</f>
        <v>0</v>
      </c>
      <c r="N75" s="58">
        <f t="shared" si="10"/>
        <v>0</v>
      </c>
    </row>
    <row r="76" spans="1:15" ht="13" hidden="1" x14ac:dyDescent="0.15">
      <c r="A76" s="56" t="s">
        <v>67</v>
      </c>
      <c r="B76" s="58">
        <f>0</f>
        <v>0</v>
      </c>
      <c r="C76" s="58">
        <f>0</f>
        <v>0</v>
      </c>
      <c r="D76" s="58">
        <f>0</f>
        <v>0</v>
      </c>
      <c r="E76" s="58">
        <f>0</f>
        <v>0</v>
      </c>
      <c r="F76" s="58">
        <f>0</f>
        <v>0</v>
      </c>
      <c r="G76" s="58">
        <f>0</f>
        <v>0</v>
      </c>
      <c r="H76" s="58">
        <f>0</f>
        <v>0</v>
      </c>
      <c r="I76" s="58">
        <f>0</f>
        <v>0</v>
      </c>
      <c r="J76" s="58">
        <f>0</f>
        <v>0</v>
      </c>
      <c r="K76" s="58">
        <f>0</f>
        <v>0</v>
      </c>
      <c r="L76" s="58">
        <f>0</f>
        <v>0</v>
      </c>
      <c r="M76" s="58">
        <f>0</f>
        <v>0</v>
      </c>
      <c r="N76" s="58">
        <f t="shared" si="10"/>
        <v>0</v>
      </c>
    </row>
    <row r="77" spans="1:15" ht="13" x14ac:dyDescent="0.15">
      <c r="A77" s="56" t="s">
        <v>68</v>
      </c>
      <c r="B77" s="58">
        <f>133.56</f>
        <v>133.56</v>
      </c>
      <c r="C77" s="58">
        <f>245.56</f>
        <v>245.56</v>
      </c>
      <c r="D77" s="58">
        <f>199.56</f>
        <v>199.56</v>
      </c>
      <c r="E77" s="58">
        <f>133.56</f>
        <v>133.56</v>
      </c>
      <c r="F77" s="58">
        <f>250.41</f>
        <v>250.41</v>
      </c>
      <c r="G77" s="58">
        <f>133.56</f>
        <v>133.56</v>
      </c>
      <c r="H77" s="58">
        <f>201.56</f>
        <v>201.56</v>
      </c>
      <c r="I77" s="58">
        <f>328.01</f>
        <v>328.01</v>
      </c>
      <c r="J77" s="58">
        <f>114.48</f>
        <v>114.48</v>
      </c>
      <c r="K77" s="58">
        <v>100</v>
      </c>
      <c r="L77" s="58">
        <v>100</v>
      </c>
      <c r="M77" s="58">
        <v>100</v>
      </c>
      <c r="N77" s="58">
        <f t="shared" si="10"/>
        <v>2040.26</v>
      </c>
    </row>
    <row r="78" spans="1:15" ht="13" x14ac:dyDescent="0.15">
      <c r="A78" s="56" t="s">
        <v>69</v>
      </c>
      <c r="B78" s="58">
        <f>0</f>
        <v>0</v>
      </c>
      <c r="C78" s="58">
        <f>0</f>
        <v>0</v>
      </c>
      <c r="D78" s="58">
        <f>0</f>
        <v>0</v>
      </c>
      <c r="E78" s="58">
        <f>0</f>
        <v>0</v>
      </c>
      <c r="F78" s="58">
        <f>821.55</f>
        <v>821.55</v>
      </c>
      <c r="G78" s="58">
        <f>0</f>
        <v>0</v>
      </c>
      <c r="H78" s="58">
        <f>0</f>
        <v>0</v>
      </c>
      <c r="I78" s="58">
        <f>0</f>
        <v>0</v>
      </c>
      <c r="J78" s="58">
        <f>0</f>
        <v>0</v>
      </c>
      <c r="K78" s="58">
        <f>0</f>
        <v>0</v>
      </c>
      <c r="L78" s="58">
        <f>0</f>
        <v>0</v>
      </c>
      <c r="M78" s="58">
        <f>0</f>
        <v>0</v>
      </c>
      <c r="N78" s="58">
        <f t="shared" si="10"/>
        <v>821.55</v>
      </c>
    </row>
    <row r="79" spans="1:15" ht="13" x14ac:dyDescent="0.15">
      <c r="A79" s="56" t="s">
        <v>70</v>
      </c>
      <c r="B79" s="58">
        <f>90.1</f>
        <v>90.1</v>
      </c>
      <c r="C79" s="58">
        <f>95.4</f>
        <v>95.4</v>
      </c>
      <c r="D79" s="58">
        <f>177.8</f>
        <v>177.8</v>
      </c>
      <c r="E79" s="58">
        <f>254.29</f>
        <v>254.29</v>
      </c>
      <c r="F79" s="58">
        <f>235.38</f>
        <v>235.38</v>
      </c>
      <c r="G79" s="58">
        <f>95.4</f>
        <v>95.4</v>
      </c>
      <c r="H79" s="58">
        <f>292.46</f>
        <v>292.45999999999998</v>
      </c>
      <c r="I79" s="58">
        <f>95.4</f>
        <v>95.4</v>
      </c>
      <c r="J79" s="58">
        <f>95.4</f>
        <v>95.4</v>
      </c>
      <c r="K79" s="58">
        <v>95.4</v>
      </c>
      <c r="L79" s="58">
        <v>95.4</v>
      </c>
      <c r="M79" s="58">
        <v>95.4</v>
      </c>
      <c r="N79" s="58">
        <f t="shared" si="10"/>
        <v>1717.8300000000004</v>
      </c>
    </row>
    <row r="80" spans="1:15" ht="13" x14ac:dyDescent="0.15">
      <c r="A80" s="56" t="s">
        <v>71</v>
      </c>
      <c r="B80" s="58">
        <v>166</v>
      </c>
      <c r="C80" s="58">
        <v>166</v>
      </c>
      <c r="D80" s="58">
        <v>166</v>
      </c>
      <c r="E80" s="58">
        <f>166</f>
        <v>166</v>
      </c>
      <c r="F80" s="58">
        <f>166</f>
        <v>166</v>
      </c>
      <c r="G80" s="58">
        <f>166</f>
        <v>166</v>
      </c>
      <c r="H80" s="58">
        <v>1166</v>
      </c>
      <c r="I80" s="58">
        <v>1166</v>
      </c>
      <c r="J80" s="58">
        <v>1166</v>
      </c>
      <c r="K80" s="58">
        <v>1166</v>
      </c>
      <c r="L80" s="58">
        <v>1166</v>
      </c>
      <c r="M80" s="58">
        <v>1166</v>
      </c>
      <c r="N80" s="58">
        <f t="shared" si="10"/>
        <v>7992</v>
      </c>
      <c r="O80" s="53" t="s">
        <v>184</v>
      </c>
    </row>
    <row r="81" spans="1:15" ht="13" x14ac:dyDescent="0.15">
      <c r="A81" s="56" t="s">
        <v>72</v>
      </c>
      <c r="B81" s="58">
        <f>87.57</f>
        <v>87.57</v>
      </c>
      <c r="C81" s="58">
        <f>0</f>
        <v>0</v>
      </c>
      <c r="D81" s="58">
        <f>92.25</f>
        <v>92.25</v>
      </c>
      <c r="E81" s="58">
        <f>140.65</f>
        <v>140.65</v>
      </c>
      <c r="F81" s="58">
        <f>144.54</f>
        <v>144.54</v>
      </c>
      <c r="G81" s="58">
        <f>22.36</f>
        <v>22.36</v>
      </c>
      <c r="H81" s="58">
        <f>371.54</f>
        <v>371.54</v>
      </c>
      <c r="I81" s="58">
        <f>236.96</f>
        <v>236.96</v>
      </c>
      <c r="J81" s="58">
        <f>225.67</f>
        <v>225.67</v>
      </c>
      <c r="K81" s="58">
        <v>25</v>
      </c>
      <c r="L81" s="58">
        <v>25</v>
      </c>
      <c r="M81" s="58">
        <v>50</v>
      </c>
      <c r="N81" s="58">
        <f t="shared" si="10"/>
        <v>1421.5400000000002</v>
      </c>
    </row>
    <row r="82" spans="1:15" ht="13" x14ac:dyDescent="0.15">
      <c r="A82" s="56" t="s">
        <v>73</v>
      </c>
      <c r="B82" s="58">
        <v>180.8</v>
      </c>
      <c r="C82" s="58">
        <v>180.8</v>
      </c>
      <c r="D82" s="58">
        <f>1096.47</f>
        <v>1096.47</v>
      </c>
      <c r="E82" s="58">
        <f>1261</f>
        <v>1261</v>
      </c>
      <c r="F82" s="58">
        <f>542.4</f>
        <v>542.4</v>
      </c>
      <c r="G82" s="58">
        <f>180.8</f>
        <v>180.8</v>
      </c>
      <c r="H82" s="58">
        <f>180.8</f>
        <v>180.8</v>
      </c>
      <c r="I82" s="58">
        <f>180.8</f>
        <v>180.8</v>
      </c>
      <c r="J82" s="58">
        <f>180.8</f>
        <v>180.8</v>
      </c>
      <c r="K82" s="58">
        <v>180.8</v>
      </c>
      <c r="L82" s="58">
        <v>180.8</v>
      </c>
      <c r="M82" s="58">
        <v>180.8</v>
      </c>
      <c r="N82" s="58">
        <f t="shared" si="10"/>
        <v>4527.0700000000015</v>
      </c>
    </row>
    <row r="83" spans="1:15" ht="13" x14ac:dyDescent="0.15">
      <c r="A83" s="56" t="s">
        <v>74</v>
      </c>
      <c r="B83" s="58">
        <f>0</f>
        <v>0</v>
      </c>
      <c r="C83" s="58">
        <f>0</f>
        <v>0</v>
      </c>
      <c r="D83" s="58">
        <f>0</f>
        <v>0</v>
      </c>
      <c r="E83" s="58">
        <f>50</f>
        <v>50</v>
      </c>
      <c r="F83" s="58">
        <f>0</f>
        <v>0</v>
      </c>
      <c r="G83" s="58">
        <f>0</f>
        <v>0</v>
      </c>
      <c r="H83" s="58">
        <f>0</f>
        <v>0</v>
      </c>
      <c r="I83" s="58">
        <f>0</f>
        <v>0</v>
      </c>
      <c r="J83" s="58">
        <f>0</f>
        <v>0</v>
      </c>
      <c r="K83" s="58">
        <f>0</f>
        <v>0</v>
      </c>
      <c r="L83" s="58">
        <f>0</f>
        <v>0</v>
      </c>
      <c r="M83" s="58">
        <f>0</f>
        <v>0</v>
      </c>
      <c r="N83" s="58">
        <f t="shared" si="10"/>
        <v>50</v>
      </c>
    </row>
    <row r="84" spans="1:15" ht="13" x14ac:dyDescent="0.15">
      <c r="A84" s="56" t="s">
        <v>75</v>
      </c>
      <c r="B84" s="58">
        <f>0</f>
        <v>0</v>
      </c>
      <c r="C84" s="58">
        <f>0</f>
        <v>0</v>
      </c>
      <c r="D84" s="58">
        <f>0</f>
        <v>0</v>
      </c>
      <c r="E84" s="58">
        <f>0</f>
        <v>0</v>
      </c>
      <c r="F84" s="58">
        <f>4200</f>
        <v>4200</v>
      </c>
      <c r="G84" s="58">
        <f>0</f>
        <v>0</v>
      </c>
      <c r="H84" s="58">
        <f>0</f>
        <v>0</v>
      </c>
      <c r="I84" s="58">
        <f>0</f>
        <v>0</v>
      </c>
      <c r="J84" s="58">
        <f>0</f>
        <v>0</v>
      </c>
      <c r="K84" s="58">
        <f>0</f>
        <v>0</v>
      </c>
      <c r="L84" s="58">
        <f>0</f>
        <v>0</v>
      </c>
      <c r="M84" s="58">
        <f>0</f>
        <v>0</v>
      </c>
      <c r="N84" s="58">
        <f t="shared" si="10"/>
        <v>4200</v>
      </c>
    </row>
    <row r="85" spans="1:15" ht="13" x14ac:dyDescent="0.15">
      <c r="A85" s="56" t="s">
        <v>76</v>
      </c>
      <c r="B85" s="58">
        <f>0</f>
        <v>0</v>
      </c>
      <c r="C85" s="58">
        <f>75</f>
        <v>75</v>
      </c>
      <c r="D85" s="58">
        <f>0</f>
        <v>0</v>
      </c>
      <c r="E85" s="58">
        <f>101.85</f>
        <v>101.85</v>
      </c>
      <c r="F85" s="58">
        <f>0</f>
        <v>0</v>
      </c>
      <c r="G85" s="58">
        <f>3</f>
        <v>3</v>
      </c>
      <c r="H85" s="58">
        <f>0</f>
        <v>0</v>
      </c>
      <c r="I85" s="58">
        <f>0</f>
        <v>0</v>
      </c>
      <c r="J85" s="58">
        <f>0</f>
        <v>0</v>
      </c>
      <c r="K85" s="58">
        <f>0</f>
        <v>0</v>
      </c>
      <c r="L85" s="58">
        <f>0</f>
        <v>0</v>
      </c>
      <c r="M85" s="58">
        <f>0</f>
        <v>0</v>
      </c>
      <c r="N85" s="58">
        <f t="shared" si="10"/>
        <v>179.85</v>
      </c>
    </row>
    <row r="86" spans="1:15" ht="13" x14ac:dyDescent="0.15">
      <c r="A86" s="56" t="s">
        <v>77</v>
      </c>
      <c r="B86" s="58">
        <f>85.83</f>
        <v>85.83</v>
      </c>
      <c r="C86" s="58">
        <f>83.4</f>
        <v>83.4</v>
      </c>
      <c r="D86" s="58">
        <f>0</f>
        <v>0</v>
      </c>
      <c r="E86" s="58">
        <f>0</f>
        <v>0</v>
      </c>
      <c r="F86" s="58">
        <f>0</f>
        <v>0</v>
      </c>
      <c r="G86" s="58">
        <f>0</f>
        <v>0</v>
      </c>
      <c r="H86" s="58">
        <f>0</f>
        <v>0</v>
      </c>
      <c r="I86" s="58">
        <f>0</f>
        <v>0</v>
      </c>
      <c r="J86" s="58">
        <f>62.17</f>
        <v>62.17</v>
      </c>
      <c r="K86" s="58">
        <f>0</f>
        <v>0</v>
      </c>
      <c r="L86" s="58">
        <f>0</f>
        <v>0</v>
      </c>
      <c r="M86" s="58">
        <f>0</f>
        <v>0</v>
      </c>
      <c r="N86" s="58">
        <f t="shared" si="10"/>
        <v>231.40000000000003</v>
      </c>
    </row>
    <row r="87" spans="1:15" s="80" customFormat="1" ht="13" x14ac:dyDescent="0.15">
      <c r="A87" s="78" t="s">
        <v>78</v>
      </c>
      <c r="B87" s="81">
        <f t="shared" ref="B87:M87" si="13">((((((((((((((((B69)+(B70))+(B71))+(B72))+(B74))+(B75))+(B76))+(B77))+(B78))+(B79))+(B80))+(B81))+(B82))+(B83))+(B84))+(B85))+(B86)</f>
        <v>2857.07</v>
      </c>
      <c r="C87" s="81">
        <f t="shared" si="13"/>
        <v>2919.4200000000005</v>
      </c>
      <c r="D87" s="81">
        <f t="shared" si="13"/>
        <v>3841.9700000000003</v>
      </c>
      <c r="E87" s="81">
        <f t="shared" si="13"/>
        <v>4220.5600000000004</v>
      </c>
      <c r="F87" s="81">
        <f t="shared" si="13"/>
        <v>9310.6899999999987</v>
      </c>
      <c r="G87" s="81">
        <f t="shared" si="13"/>
        <v>2674.3800000000006</v>
      </c>
      <c r="H87" s="81">
        <f t="shared" si="13"/>
        <v>4489.84</v>
      </c>
      <c r="I87" s="81">
        <f t="shared" si="13"/>
        <v>4118.38</v>
      </c>
      <c r="J87" s="81">
        <f t="shared" si="13"/>
        <v>4030.4200000000005</v>
      </c>
      <c r="K87" s="81">
        <f t="shared" si="13"/>
        <v>3643.1000000000004</v>
      </c>
      <c r="L87" s="81">
        <f t="shared" si="13"/>
        <v>3643.1000000000004</v>
      </c>
      <c r="M87" s="81">
        <f t="shared" si="13"/>
        <v>3668.1000000000004</v>
      </c>
      <c r="N87" s="81">
        <f t="shared" si="10"/>
        <v>49417.029999999992</v>
      </c>
    </row>
    <row r="88" spans="1:15" x14ac:dyDescent="0.15">
      <c r="A88" s="56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</row>
    <row r="89" spans="1:15" s="80" customFormat="1" ht="13" x14ac:dyDescent="0.15">
      <c r="A89" s="78" t="s">
        <v>79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</row>
    <row r="90" spans="1:15" ht="13" hidden="1" x14ac:dyDescent="0.15">
      <c r="A90" s="56" t="s">
        <v>80</v>
      </c>
      <c r="B90" s="58">
        <f>0</f>
        <v>0</v>
      </c>
      <c r="C90" s="58">
        <f>0</f>
        <v>0</v>
      </c>
      <c r="D90" s="58">
        <f>0</f>
        <v>0</v>
      </c>
      <c r="E90" s="58">
        <f>0</f>
        <v>0</v>
      </c>
      <c r="F90" s="58">
        <f>0</f>
        <v>0</v>
      </c>
      <c r="G90" s="58">
        <f>0</f>
        <v>0</v>
      </c>
      <c r="H90" s="58">
        <f>0</f>
        <v>0</v>
      </c>
      <c r="I90" s="58">
        <f>0</f>
        <v>0</v>
      </c>
      <c r="J90" s="58">
        <f>0</f>
        <v>0</v>
      </c>
      <c r="K90" s="58">
        <f>0</f>
        <v>0</v>
      </c>
      <c r="L90" s="58">
        <f>0</f>
        <v>0</v>
      </c>
      <c r="M90" s="58">
        <f>0</f>
        <v>0</v>
      </c>
      <c r="N90" s="58">
        <f t="shared" si="10"/>
        <v>0</v>
      </c>
    </row>
    <row r="91" spans="1:15" ht="13" x14ac:dyDescent="0.15">
      <c r="A91" s="56" t="s">
        <v>81</v>
      </c>
      <c r="B91" s="58">
        <f>200</f>
        <v>200</v>
      </c>
      <c r="C91" s="58">
        <f>200</f>
        <v>200</v>
      </c>
      <c r="D91" s="58">
        <f>200</f>
        <v>200</v>
      </c>
      <c r="E91" s="58">
        <f>200</f>
        <v>200</v>
      </c>
      <c r="F91" s="58">
        <f>200</f>
        <v>200</v>
      </c>
      <c r="G91" s="58">
        <f>200</f>
        <v>200</v>
      </c>
      <c r="H91" s="58">
        <f>200</f>
        <v>200</v>
      </c>
      <c r="I91" s="58">
        <f>400</f>
        <v>400</v>
      </c>
      <c r="J91" s="58">
        <v>200</v>
      </c>
      <c r="K91" s="58">
        <v>200</v>
      </c>
      <c r="L91" s="58">
        <v>200</v>
      </c>
      <c r="M91" s="58">
        <v>200</v>
      </c>
      <c r="N91" s="58">
        <f t="shared" si="10"/>
        <v>2600</v>
      </c>
    </row>
    <row r="92" spans="1:15" ht="13" x14ac:dyDescent="0.15">
      <c r="A92" s="56" t="s">
        <v>82</v>
      </c>
      <c r="B92" s="58">
        <f>0</f>
        <v>0</v>
      </c>
      <c r="C92" s="58">
        <f>0</f>
        <v>0</v>
      </c>
      <c r="D92" s="58">
        <f>0</f>
        <v>0</v>
      </c>
      <c r="E92" s="58">
        <f>0</f>
        <v>0</v>
      </c>
      <c r="F92" s="82">
        <v>15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2">
        <f t="shared" si="10"/>
        <v>15</v>
      </c>
    </row>
    <row r="93" spans="1:15" ht="13" x14ac:dyDescent="0.15">
      <c r="A93" s="56" t="s">
        <v>83</v>
      </c>
      <c r="B93" s="58">
        <f>0</f>
        <v>0</v>
      </c>
      <c r="C93" s="58">
        <f>0</f>
        <v>0</v>
      </c>
      <c r="D93" s="58">
        <f>0</f>
        <v>0</v>
      </c>
      <c r="E93" s="58">
        <f>0</f>
        <v>0</v>
      </c>
      <c r="F93" s="58">
        <f>0</f>
        <v>0</v>
      </c>
      <c r="G93" s="58">
        <f>270</f>
        <v>270</v>
      </c>
      <c r="H93" s="58">
        <f>0</f>
        <v>0</v>
      </c>
      <c r="I93" s="58">
        <f>0</f>
        <v>0</v>
      </c>
      <c r="J93" s="58">
        <f>0</f>
        <v>0</v>
      </c>
      <c r="K93" s="58">
        <f>732</f>
        <v>732</v>
      </c>
      <c r="L93" s="58">
        <f>0</f>
        <v>0</v>
      </c>
      <c r="M93" s="58">
        <f>0</f>
        <v>0</v>
      </c>
      <c r="N93" s="82">
        <f t="shared" si="10"/>
        <v>1002</v>
      </c>
    </row>
    <row r="94" spans="1:15" ht="13" x14ac:dyDescent="0.15">
      <c r="A94" s="56" t="s">
        <v>84</v>
      </c>
      <c r="B94" s="58">
        <f>419.94</f>
        <v>419.94</v>
      </c>
      <c r="C94" s="58">
        <f>339.97</f>
        <v>339.97</v>
      </c>
      <c r="D94" s="58">
        <f>130</f>
        <v>130</v>
      </c>
      <c r="E94" s="58">
        <f>549.94</f>
        <v>549.94000000000005</v>
      </c>
      <c r="F94" s="58">
        <f>130</f>
        <v>130</v>
      </c>
      <c r="G94" s="58">
        <f>209.97</f>
        <v>209.97</v>
      </c>
      <c r="H94" s="58">
        <f>614.94</f>
        <v>614.94000000000005</v>
      </c>
      <c r="I94" s="58">
        <f>65</f>
        <v>65</v>
      </c>
      <c r="J94" s="58">
        <f>209.97</f>
        <v>209.97</v>
      </c>
      <c r="K94" s="58">
        <f>209.97</f>
        <v>209.97</v>
      </c>
      <c r="L94" s="58">
        <v>209.97</v>
      </c>
      <c r="M94" s="58">
        <v>209.97</v>
      </c>
      <c r="N94" s="82">
        <f t="shared" si="10"/>
        <v>3299.6399999999994</v>
      </c>
    </row>
    <row r="95" spans="1:15" ht="13" x14ac:dyDescent="0.15">
      <c r="A95" s="56" t="s">
        <v>85</v>
      </c>
      <c r="B95" s="58">
        <f>100</f>
        <v>100</v>
      </c>
      <c r="C95" s="82">
        <v>1600</v>
      </c>
      <c r="D95" s="58">
        <f>100</f>
        <v>100</v>
      </c>
      <c r="E95" s="58">
        <f>100</f>
        <v>100</v>
      </c>
      <c r="F95" s="58">
        <f>100</f>
        <v>100</v>
      </c>
      <c r="G95" s="58">
        <f>100</f>
        <v>100</v>
      </c>
      <c r="H95" s="58">
        <f>100</f>
        <v>100</v>
      </c>
      <c r="I95" s="58">
        <f>100</f>
        <v>100</v>
      </c>
      <c r="J95" s="58">
        <f>100</f>
        <v>100</v>
      </c>
      <c r="K95" s="58">
        <f>100</f>
        <v>100</v>
      </c>
      <c r="L95" s="58">
        <v>100</v>
      </c>
      <c r="M95" s="58">
        <v>100</v>
      </c>
      <c r="N95" s="82">
        <f t="shared" si="10"/>
        <v>2700</v>
      </c>
      <c r="O95" s="53" t="s">
        <v>191</v>
      </c>
    </row>
    <row r="96" spans="1:15" ht="13" x14ac:dyDescent="0.15">
      <c r="A96" s="84" t="s">
        <v>192</v>
      </c>
      <c r="B96" s="58">
        <f>0</f>
        <v>0</v>
      </c>
      <c r="C96" s="58">
        <f>116.48</f>
        <v>116.48</v>
      </c>
      <c r="D96" s="58">
        <f>0</f>
        <v>0</v>
      </c>
      <c r="E96" s="58">
        <f>0</f>
        <v>0</v>
      </c>
      <c r="F96" s="58">
        <f>20.65</f>
        <v>20.65</v>
      </c>
      <c r="G96" s="58">
        <f>13.96</f>
        <v>13.96</v>
      </c>
      <c r="H96" s="58">
        <f>0</f>
        <v>0</v>
      </c>
      <c r="I96" s="58">
        <f>0</f>
        <v>0</v>
      </c>
      <c r="J96" s="58">
        <f>0</f>
        <v>0</v>
      </c>
      <c r="K96" s="58">
        <f>0</f>
        <v>0</v>
      </c>
      <c r="L96" s="58">
        <f>0</f>
        <v>0</v>
      </c>
      <c r="M96" s="58">
        <f>0</f>
        <v>0</v>
      </c>
      <c r="N96" s="58">
        <f t="shared" ref="N96:N134" si="14">(((((((((((B96)+(C96))+(D96))+(E96))+(F96))+(G96))+(H96))+(I96))+(J96))+(K96))+(L96))+(M96)</f>
        <v>151.09</v>
      </c>
    </row>
    <row r="97" spans="1:14 16384:16384" ht="13" x14ac:dyDescent="0.15">
      <c r="A97" s="56" t="s">
        <v>86</v>
      </c>
      <c r="B97" s="58">
        <f>39.97</f>
        <v>39.97</v>
      </c>
      <c r="C97" s="58">
        <f>0</f>
        <v>0</v>
      </c>
      <c r="D97" s="58">
        <f>0</f>
        <v>0</v>
      </c>
      <c r="E97" s="58">
        <f>52.97</f>
        <v>52.97</v>
      </c>
      <c r="F97" s="58">
        <f>0</f>
        <v>0</v>
      </c>
      <c r="G97" s="58">
        <f>90.66</f>
        <v>90.66</v>
      </c>
      <c r="H97" s="58">
        <f>542.05</f>
        <v>542.04999999999995</v>
      </c>
      <c r="I97" s="58">
        <f>125.69</f>
        <v>125.69</v>
      </c>
      <c r="J97" s="58">
        <f>67.75</f>
        <v>67.75</v>
      </c>
      <c r="K97" s="58">
        <v>50</v>
      </c>
      <c r="L97" s="58">
        <v>50</v>
      </c>
      <c r="M97" s="58">
        <v>50</v>
      </c>
      <c r="N97" s="58">
        <f t="shared" si="14"/>
        <v>1069.0899999999999</v>
      </c>
    </row>
    <row r="98" spans="1:14 16384:16384" s="80" customFormat="1" ht="13" x14ac:dyDescent="0.15">
      <c r="A98" s="78" t="s">
        <v>87</v>
      </c>
      <c r="B98" s="81">
        <f t="shared" ref="B98:M98" si="15">((((((((B89)+(B90))+(B91))+(B92))+(B93))+(B94))+(B95))+(B96))+(B97)</f>
        <v>759.91000000000008</v>
      </c>
      <c r="C98" s="81">
        <f t="shared" si="15"/>
        <v>2256.4500000000003</v>
      </c>
      <c r="D98" s="81">
        <f t="shared" si="15"/>
        <v>430</v>
      </c>
      <c r="E98" s="81">
        <f t="shared" si="15"/>
        <v>902.91000000000008</v>
      </c>
      <c r="F98" s="81">
        <f t="shared" si="15"/>
        <v>465.65</v>
      </c>
      <c r="G98" s="81">
        <f t="shared" si="15"/>
        <v>884.59</v>
      </c>
      <c r="H98" s="81">
        <f t="shared" si="15"/>
        <v>1456.99</v>
      </c>
      <c r="I98" s="81">
        <f t="shared" si="15"/>
        <v>690.69</v>
      </c>
      <c r="J98" s="81">
        <f t="shared" si="15"/>
        <v>577.72</v>
      </c>
      <c r="K98" s="81">
        <f t="shared" si="15"/>
        <v>1291.97</v>
      </c>
      <c r="L98" s="81">
        <f t="shared" si="15"/>
        <v>559.97</v>
      </c>
      <c r="M98" s="81">
        <f t="shared" si="15"/>
        <v>559.97</v>
      </c>
      <c r="N98" s="81">
        <f t="shared" si="14"/>
        <v>10836.819999999998</v>
      </c>
    </row>
    <row r="99" spans="1:14 16384:16384" s="65" customFormat="1" x14ac:dyDescent="0.15">
      <c r="A99" s="63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 16384:16384" s="80" customFormat="1" ht="13" x14ac:dyDescent="0.15">
      <c r="A100" s="78" t="s">
        <v>88</v>
      </c>
      <c r="B100" s="79">
        <v>0</v>
      </c>
      <c r="C100" s="79">
        <f>0</f>
        <v>0</v>
      </c>
      <c r="D100" s="79">
        <v>0</v>
      </c>
      <c r="E100" s="79">
        <v>0</v>
      </c>
      <c r="F100" s="79">
        <v>0</v>
      </c>
      <c r="G100" s="79">
        <f>0</f>
        <v>0</v>
      </c>
      <c r="H100" s="79">
        <f>0</f>
        <v>0</v>
      </c>
      <c r="I100" s="79">
        <v>0</v>
      </c>
      <c r="J100" s="79">
        <v>0</v>
      </c>
      <c r="K100" s="79">
        <f>0</f>
        <v>0</v>
      </c>
      <c r="L100" s="79">
        <f>0</f>
        <v>0</v>
      </c>
      <c r="M100" s="79">
        <f>0</f>
        <v>0</v>
      </c>
      <c r="N100" s="79">
        <f t="shared" si="14"/>
        <v>0</v>
      </c>
    </row>
    <row r="101" spans="1:14 16384:16384" s="65" customFormat="1" ht="13" x14ac:dyDescent="0.15">
      <c r="A101" s="63" t="s">
        <v>209</v>
      </c>
      <c r="B101" s="85">
        <v>835</v>
      </c>
      <c r="C101" s="85">
        <v>835</v>
      </c>
      <c r="D101" s="85">
        <v>835</v>
      </c>
      <c r="E101" s="85">
        <v>835</v>
      </c>
      <c r="F101" s="85">
        <v>835</v>
      </c>
      <c r="G101" s="85">
        <v>815</v>
      </c>
      <c r="H101" s="85">
        <v>835</v>
      </c>
      <c r="I101" s="85">
        <v>835</v>
      </c>
      <c r="J101" s="85">
        <v>835</v>
      </c>
      <c r="K101" s="85">
        <v>835</v>
      </c>
      <c r="L101" s="85">
        <v>835</v>
      </c>
      <c r="M101" s="85">
        <v>835</v>
      </c>
      <c r="N101" s="85">
        <f t="shared" si="14"/>
        <v>10000</v>
      </c>
    </row>
    <row r="102" spans="1:14 16384:16384" ht="13" x14ac:dyDescent="0.15">
      <c r="A102" s="56" t="s">
        <v>89</v>
      </c>
      <c r="B102" s="58">
        <f>0</f>
        <v>0</v>
      </c>
      <c r="C102" s="58">
        <f>0</f>
        <v>0</v>
      </c>
      <c r="D102" s="58">
        <f>0</f>
        <v>0</v>
      </c>
      <c r="E102" s="58">
        <f>0</f>
        <v>0</v>
      </c>
      <c r="F102" s="58">
        <f>0</f>
        <v>0</v>
      </c>
      <c r="G102" s="58">
        <f>119.99</f>
        <v>119.99</v>
      </c>
      <c r="H102" s="58">
        <f>0</f>
        <v>0</v>
      </c>
      <c r="I102" s="58">
        <f>0</f>
        <v>0</v>
      </c>
      <c r="J102" s="58">
        <f>0</f>
        <v>0</v>
      </c>
      <c r="K102" s="58">
        <f>0</f>
        <v>0</v>
      </c>
      <c r="L102" s="58">
        <f>0</f>
        <v>0</v>
      </c>
      <c r="M102" s="58">
        <f>0</f>
        <v>0</v>
      </c>
      <c r="N102" s="58">
        <f t="shared" si="14"/>
        <v>119.99</v>
      </c>
    </row>
    <row r="103" spans="1:14 16384:16384" ht="13" hidden="1" x14ac:dyDescent="0.15">
      <c r="A103" s="86" t="s">
        <v>190</v>
      </c>
      <c r="B103" s="83">
        <v>0</v>
      </c>
      <c r="C103" s="83">
        <v>0</v>
      </c>
      <c r="D103" s="83">
        <v>0</v>
      </c>
      <c r="E103" s="58"/>
      <c r="F103" s="58"/>
      <c r="G103" s="58"/>
      <c r="H103" s="58"/>
      <c r="I103" s="83">
        <v>0</v>
      </c>
      <c r="J103" s="58"/>
      <c r="K103" s="83">
        <v>0</v>
      </c>
      <c r="L103" s="58"/>
      <c r="M103" s="58"/>
      <c r="N103" s="83">
        <v>4400</v>
      </c>
      <c r="XFD103" s="87">
        <f>SUM(B103:XFC103)</f>
        <v>4400</v>
      </c>
    </row>
    <row r="104" spans="1:14 16384:16384" s="80" customFormat="1" ht="13" x14ac:dyDescent="0.15">
      <c r="A104" s="78" t="s">
        <v>90</v>
      </c>
      <c r="B104" s="81">
        <f>+B100+B101+B102</f>
        <v>835</v>
      </c>
      <c r="C104" s="81">
        <f t="shared" ref="C104:M104" si="16">+C100+C101+C102</f>
        <v>835</v>
      </c>
      <c r="D104" s="81">
        <f t="shared" si="16"/>
        <v>835</v>
      </c>
      <c r="E104" s="81">
        <f t="shared" si="16"/>
        <v>835</v>
      </c>
      <c r="F104" s="81">
        <f t="shared" si="16"/>
        <v>835</v>
      </c>
      <c r="G104" s="81">
        <f t="shared" si="16"/>
        <v>934.99</v>
      </c>
      <c r="H104" s="81">
        <f t="shared" si="16"/>
        <v>835</v>
      </c>
      <c r="I104" s="81">
        <f t="shared" si="16"/>
        <v>835</v>
      </c>
      <c r="J104" s="81">
        <f t="shared" si="16"/>
        <v>835</v>
      </c>
      <c r="K104" s="81">
        <f t="shared" si="16"/>
        <v>835</v>
      </c>
      <c r="L104" s="81">
        <f t="shared" si="16"/>
        <v>835</v>
      </c>
      <c r="M104" s="81">
        <f t="shared" si="16"/>
        <v>835</v>
      </c>
      <c r="N104" s="81">
        <f t="shared" si="14"/>
        <v>10119.99</v>
      </c>
    </row>
    <row r="105" spans="1:14 16384:16384" x14ac:dyDescent="0.15">
      <c r="A105" s="56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</row>
    <row r="106" spans="1:14 16384:16384" s="80" customFormat="1" ht="13" x14ac:dyDescent="0.15">
      <c r="A106" s="78" t="s">
        <v>91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 16384:16384" ht="26" x14ac:dyDescent="0.15">
      <c r="A107" s="56" t="s">
        <v>92</v>
      </c>
      <c r="B107" s="58">
        <v>455</v>
      </c>
      <c r="C107" s="58">
        <v>455</v>
      </c>
      <c r="D107" s="58">
        <v>455</v>
      </c>
      <c r="E107" s="58">
        <v>455</v>
      </c>
      <c r="F107" s="58">
        <v>455</v>
      </c>
      <c r="G107" s="58">
        <v>455</v>
      </c>
      <c r="H107" s="58">
        <v>455</v>
      </c>
      <c r="I107" s="58">
        <v>455</v>
      </c>
      <c r="J107" s="58">
        <v>455</v>
      </c>
      <c r="K107" s="58">
        <v>455</v>
      </c>
      <c r="L107" s="58">
        <v>455</v>
      </c>
      <c r="M107" s="58">
        <v>455</v>
      </c>
      <c r="N107" s="58">
        <f t="shared" si="14"/>
        <v>5460</v>
      </c>
    </row>
    <row r="108" spans="1:14 16384:16384" ht="13" x14ac:dyDescent="0.15">
      <c r="A108" s="56" t="s">
        <v>93</v>
      </c>
      <c r="B108" s="58">
        <f>450.5</f>
        <v>450.5</v>
      </c>
      <c r="C108" s="58">
        <f>450.5+8000</f>
        <v>8450.5</v>
      </c>
      <c r="D108" s="58">
        <f>450.5+12000</f>
        <v>12450.5</v>
      </c>
      <c r="E108" s="58">
        <f>600.5+18000</f>
        <v>18600.5</v>
      </c>
      <c r="F108" s="58">
        <f>9038.83-8500</f>
        <v>538.82999999999993</v>
      </c>
      <c r="G108" s="58">
        <f>538.83</f>
        <v>538.83000000000004</v>
      </c>
      <c r="H108" s="58">
        <f>538.83</f>
        <v>538.83000000000004</v>
      </c>
      <c r="I108" s="58">
        <f>538.83</f>
        <v>538.83000000000004</v>
      </c>
      <c r="J108" s="58">
        <f>538.83</f>
        <v>538.83000000000004</v>
      </c>
      <c r="K108" s="58">
        <v>450</v>
      </c>
      <c r="L108" s="58">
        <v>450</v>
      </c>
      <c r="M108" s="58">
        <v>450</v>
      </c>
      <c r="N108" s="58">
        <f t="shared" si="14"/>
        <v>43996.150000000009</v>
      </c>
    </row>
    <row r="109" spans="1:14 16384:16384" ht="13" x14ac:dyDescent="0.15">
      <c r="A109" s="56" t="s">
        <v>94</v>
      </c>
      <c r="B109" s="58">
        <f>0</f>
        <v>0</v>
      </c>
      <c r="C109" s="58">
        <f>0</f>
        <v>0</v>
      </c>
      <c r="D109" s="58">
        <f>0</f>
        <v>0</v>
      </c>
      <c r="E109" s="58">
        <f>0</f>
        <v>0</v>
      </c>
      <c r="F109" s="58">
        <f>0</f>
        <v>0</v>
      </c>
      <c r="G109" s="58">
        <f>4403.9</f>
        <v>4403.8999999999996</v>
      </c>
      <c r="H109" s="58">
        <f>0</f>
        <v>0</v>
      </c>
      <c r="I109" s="58">
        <f>0</f>
        <v>0</v>
      </c>
      <c r="J109" s="58">
        <f>0</f>
        <v>0</v>
      </c>
      <c r="K109" s="58">
        <f>0</f>
        <v>0</v>
      </c>
      <c r="L109" s="58">
        <f>0</f>
        <v>0</v>
      </c>
      <c r="M109" s="58">
        <f>0</f>
        <v>0</v>
      </c>
      <c r="N109" s="58">
        <f t="shared" si="14"/>
        <v>4403.8999999999996</v>
      </c>
    </row>
    <row r="110" spans="1:14 16384:16384" s="80" customFormat="1" ht="13" x14ac:dyDescent="0.15">
      <c r="A110" s="78" t="s">
        <v>95</v>
      </c>
      <c r="B110" s="81">
        <f t="shared" ref="B110:M110" si="17">(((B106)+(B107))+(B108))+(B109)</f>
        <v>905.5</v>
      </c>
      <c r="C110" s="81">
        <f t="shared" si="17"/>
        <v>8905.5</v>
      </c>
      <c r="D110" s="81">
        <f t="shared" si="17"/>
        <v>12905.5</v>
      </c>
      <c r="E110" s="81">
        <f t="shared" si="17"/>
        <v>19055.5</v>
      </c>
      <c r="F110" s="81">
        <f t="shared" si="17"/>
        <v>993.82999999999993</v>
      </c>
      <c r="G110" s="81">
        <f t="shared" si="17"/>
        <v>5397.73</v>
      </c>
      <c r="H110" s="81">
        <f t="shared" si="17"/>
        <v>993.83</v>
      </c>
      <c r="I110" s="81">
        <f t="shared" si="17"/>
        <v>993.83</v>
      </c>
      <c r="J110" s="81">
        <f t="shared" si="17"/>
        <v>993.83</v>
      </c>
      <c r="K110" s="81">
        <f t="shared" si="17"/>
        <v>905</v>
      </c>
      <c r="L110" s="81">
        <f t="shared" si="17"/>
        <v>905</v>
      </c>
      <c r="M110" s="81">
        <f t="shared" si="17"/>
        <v>905</v>
      </c>
      <c r="N110" s="81">
        <f t="shared" si="14"/>
        <v>53860.05</v>
      </c>
    </row>
    <row r="111" spans="1:14 16384:16384" x14ac:dyDescent="0.15">
      <c r="A111" s="56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</row>
    <row r="112" spans="1:14 16384:16384" s="80" customFormat="1" ht="13" x14ac:dyDescent="0.15">
      <c r="A112" s="78" t="s">
        <v>96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1:15" ht="13" x14ac:dyDescent="0.15">
      <c r="A113" s="56" t="s">
        <v>97</v>
      </c>
      <c r="B113" s="58">
        <f>0</f>
        <v>0</v>
      </c>
      <c r="C113" s="58">
        <f>600</f>
        <v>600</v>
      </c>
      <c r="D113" s="58">
        <f>0</f>
        <v>0</v>
      </c>
      <c r="E113" s="58">
        <f>0</f>
        <v>0</v>
      </c>
      <c r="F113" s="58">
        <f>0</f>
        <v>0</v>
      </c>
      <c r="G113" s="58">
        <f>0</f>
        <v>0</v>
      </c>
      <c r="H113" s="58">
        <f>0</f>
        <v>0</v>
      </c>
      <c r="I113" s="58">
        <f>0</f>
        <v>0</v>
      </c>
      <c r="J113" s="58">
        <f>1575</f>
        <v>1575</v>
      </c>
      <c r="K113" s="58">
        <f>0</f>
        <v>0</v>
      </c>
      <c r="L113" s="58">
        <f>0</f>
        <v>0</v>
      </c>
      <c r="M113" s="58">
        <f>0</f>
        <v>0</v>
      </c>
      <c r="N113" s="58">
        <f t="shared" si="14"/>
        <v>2175</v>
      </c>
    </row>
    <row r="114" spans="1:15" ht="13" x14ac:dyDescent="0.15">
      <c r="A114" s="56" t="s">
        <v>199</v>
      </c>
      <c r="B114" s="58">
        <v>250</v>
      </c>
      <c r="C114" s="58">
        <v>250</v>
      </c>
      <c r="D114" s="58">
        <v>250</v>
      </c>
      <c r="E114" s="58">
        <v>250</v>
      </c>
      <c r="F114" s="58">
        <v>250</v>
      </c>
      <c r="G114" s="58">
        <v>250</v>
      </c>
      <c r="H114" s="58">
        <v>250</v>
      </c>
      <c r="I114" s="58">
        <v>250</v>
      </c>
      <c r="J114" s="58">
        <v>250</v>
      </c>
      <c r="K114" s="58">
        <v>250</v>
      </c>
      <c r="L114" s="58">
        <v>250</v>
      </c>
      <c r="M114" s="58">
        <v>250</v>
      </c>
      <c r="N114" s="58">
        <f t="shared" ref="N114" si="18">(((((((((((B114)+(C114))+(D114))+(E114))+(F114))+(G114))+(H114))+(I114))+(J114))+(K114))+(L114))+(M114)</f>
        <v>3000</v>
      </c>
      <c r="O114" s="53" t="s">
        <v>198</v>
      </c>
    </row>
    <row r="115" spans="1:15" ht="13" x14ac:dyDescent="0.15">
      <c r="A115" s="56" t="s">
        <v>98</v>
      </c>
      <c r="B115" s="58">
        <f>0</f>
        <v>0</v>
      </c>
      <c r="C115" s="58">
        <f>0</f>
        <v>0</v>
      </c>
      <c r="D115" s="58">
        <f>788.2</f>
        <v>788.2</v>
      </c>
      <c r="E115" s="58">
        <f>325</f>
        <v>325</v>
      </c>
      <c r="F115" s="58">
        <f>4800</f>
        <v>4800</v>
      </c>
      <c r="G115" s="58">
        <f>408.26</f>
        <v>408.26</v>
      </c>
      <c r="H115" s="58">
        <f>1208</f>
        <v>1208</v>
      </c>
      <c r="I115" s="58">
        <f>115.36</f>
        <v>115.36</v>
      </c>
      <c r="J115" s="58">
        <f>56.92</f>
        <v>56.92</v>
      </c>
      <c r="K115" s="58">
        <v>100</v>
      </c>
      <c r="L115" s="58">
        <v>100</v>
      </c>
      <c r="M115" s="58">
        <v>100</v>
      </c>
      <c r="N115" s="58">
        <f t="shared" si="14"/>
        <v>8001.74</v>
      </c>
    </row>
    <row r="116" spans="1:15" ht="13" x14ac:dyDescent="0.15">
      <c r="A116" s="56" t="s">
        <v>99</v>
      </c>
      <c r="B116" s="58">
        <f>0</f>
        <v>0</v>
      </c>
      <c r="C116" s="58">
        <f>250</f>
        <v>250</v>
      </c>
      <c r="D116" s="58">
        <f>250</f>
        <v>250</v>
      </c>
      <c r="E116" s="58">
        <f>250</f>
        <v>250</v>
      </c>
      <c r="F116" s="58">
        <f>250</f>
        <v>250</v>
      </c>
      <c r="G116" s="58">
        <f>250</f>
        <v>250</v>
      </c>
      <c r="H116" s="58">
        <f>250</f>
        <v>250</v>
      </c>
      <c r="I116" s="58">
        <f>250</f>
        <v>250</v>
      </c>
      <c r="J116" s="58">
        <f>250</f>
        <v>250</v>
      </c>
      <c r="K116" s="58">
        <v>250</v>
      </c>
      <c r="L116" s="58">
        <v>250</v>
      </c>
      <c r="M116" s="58">
        <v>250</v>
      </c>
      <c r="N116" s="58">
        <f t="shared" si="14"/>
        <v>2750</v>
      </c>
    </row>
    <row r="117" spans="1:15" ht="13" x14ac:dyDescent="0.15">
      <c r="A117" s="56" t="s">
        <v>100</v>
      </c>
      <c r="B117" s="58">
        <f>0</f>
        <v>0</v>
      </c>
      <c r="C117" s="58">
        <f>0</f>
        <v>0</v>
      </c>
      <c r="D117" s="58">
        <f>0</f>
        <v>0</v>
      </c>
      <c r="E117" s="58">
        <f>0</f>
        <v>0</v>
      </c>
      <c r="F117" s="58">
        <f>0</f>
        <v>0</v>
      </c>
      <c r="G117" s="58">
        <f>0</f>
        <v>0</v>
      </c>
      <c r="H117" s="58">
        <f>0</f>
        <v>0</v>
      </c>
      <c r="I117" s="58">
        <f>28.24</f>
        <v>28.24</v>
      </c>
      <c r="J117" s="58">
        <f>407.04</f>
        <v>407.04</v>
      </c>
      <c r="K117" s="58">
        <f>0</f>
        <v>0</v>
      </c>
      <c r="L117" s="58">
        <f>0</f>
        <v>0</v>
      </c>
      <c r="M117" s="58">
        <f>0</f>
        <v>0</v>
      </c>
      <c r="N117" s="58">
        <f t="shared" si="14"/>
        <v>435.28000000000003</v>
      </c>
    </row>
    <row r="118" spans="1:15" ht="13" x14ac:dyDescent="0.15">
      <c r="A118" s="56" t="s">
        <v>193</v>
      </c>
      <c r="B118" s="58">
        <f>0</f>
        <v>0</v>
      </c>
      <c r="C118" s="58">
        <f>96.58</f>
        <v>96.58</v>
      </c>
      <c r="D118" s="58">
        <f>0</f>
        <v>0</v>
      </c>
      <c r="E118" s="58">
        <f>3805.61</f>
        <v>3805.61</v>
      </c>
      <c r="F118" s="58">
        <f>4706.16</f>
        <v>4706.16</v>
      </c>
      <c r="G118" s="58">
        <f>0</f>
        <v>0</v>
      </c>
      <c r="H118" s="58">
        <f>0</f>
        <v>0</v>
      </c>
      <c r="I118" s="58">
        <f>0</f>
        <v>0</v>
      </c>
      <c r="J118" s="58">
        <f>0</f>
        <v>0</v>
      </c>
      <c r="K118" s="58">
        <f>2412.79</f>
        <v>2412.79</v>
      </c>
      <c r="L118" s="58">
        <f>0</f>
        <v>0</v>
      </c>
      <c r="M118" s="58">
        <f>0</f>
        <v>0</v>
      </c>
      <c r="N118" s="58">
        <f t="shared" si="14"/>
        <v>11021.14</v>
      </c>
    </row>
    <row r="119" spans="1:15" s="80" customFormat="1" ht="13" x14ac:dyDescent="0.15">
      <c r="A119" s="78" t="s">
        <v>101</v>
      </c>
      <c r="B119" s="81">
        <f>(((((B112)+(B113))+(B115))+(B116))+(B117))+(B118)+B114</f>
        <v>250</v>
      </c>
      <c r="C119" s="81">
        <f t="shared" ref="C119:N119" si="19">(((((C112)+(C113))+(C115))+(C116))+(C117))+(C118)+C114</f>
        <v>1196.58</v>
      </c>
      <c r="D119" s="81">
        <f t="shared" si="19"/>
        <v>1288.2</v>
      </c>
      <c r="E119" s="81">
        <f t="shared" si="19"/>
        <v>4630.6100000000006</v>
      </c>
      <c r="F119" s="81">
        <f t="shared" si="19"/>
        <v>10006.16</v>
      </c>
      <c r="G119" s="81">
        <f t="shared" si="19"/>
        <v>908.26</v>
      </c>
      <c r="H119" s="81">
        <f t="shared" si="19"/>
        <v>1708</v>
      </c>
      <c r="I119" s="81">
        <f t="shared" si="19"/>
        <v>643.6</v>
      </c>
      <c r="J119" s="81">
        <f t="shared" si="19"/>
        <v>2538.96</v>
      </c>
      <c r="K119" s="81">
        <f t="shared" si="19"/>
        <v>3012.79</v>
      </c>
      <c r="L119" s="81">
        <f t="shared" si="19"/>
        <v>600</v>
      </c>
      <c r="M119" s="81">
        <f t="shared" si="19"/>
        <v>600</v>
      </c>
      <c r="N119" s="81">
        <f t="shared" si="19"/>
        <v>27383.16</v>
      </c>
    </row>
    <row r="120" spans="1:15" x14ac:dyDescent="0.15">
      <c r="A120" s="56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1:15" s="80" customFormat="1" ht="13" x14ac:dyDescent="0.15">
      <c r="A121" s="78" t="s">
        <v>102</v>
      </c>
      <c r="B121" s="79">
        <f>0</f>
        <v>0</v>
      </c>
      <c r="C121" s="79">
        <f>0</f>
        <v>0</v>
      </c>
      <c r="D121" s="79">
        <f>0</f>
        <v>0</v>
      </c>
      <c r="E121" s="79">
        <v>0</v>
      </c>
      <c r="F121" s="79">
        <f>0</f>
        <v>0</v>
      </c>
      <c r="G121" s="79">
        <f>0</f>
        <v>0</v>
      </c>
      <c r="H121" s="79">
        <f>0</f>
        <v>0</v>
      </c>
      <c r="I121" s="79">
        <f>0</f>
        <v>0</v>
      </c>
      <c r="J121" s="79">
        <f>0</f>
        <v>0</v>
      </c>
      <c r="K121" s="79">
        <f>0</f>
        <v>0</v>
      </c>
      <c r="L121" s="79">
        <f>0</f>
        <v>0</v>
      </c>
      <c r="M121" s="79">
        <f>0</f>
        <v>0</v>
      </c>
      <c r="N121" s="79">
        <f t="shared" si="14"/>
        <v>0</v>
      </c>
    </row>
    <row r="122" spans="1:15" ht="13" hidden="1" x14ac:dyDescent="0.15">
      <c r="A122" s="56" t="s">
        <v>103</v>
      </c>
      <c r="B122" s="58">
        <f>0</f>
        <v>0</v>
      </c>
      <c r="C122" s="58">
        <f>0</f>
        <v>0</v>
      </c>
      <c r="D122" s="58">
        <f>0</f>
        <v>0</v>
      </c>
      <c r="E122" s="58">
        <f>0</f>
        <v>0</v>
      </c>
      <c r="F122" s="58">
        <f>0</f>
        <v>0</v>
      </c>
      <c r="G122" s="58">
        <f>0</f>
        <v>0</v>
      </c>
      <c r="H122" s="58">
        <f>0</f>
        <v>0</v>
      </c>
      <c r="I122" s="58">
        <f>0</f>
        <v>0</v>
      </c>
      <c r="J122" s="58">
        <f>0</f>
        <v>0</v>
      </c>
      <c r="K122" s="58">
        <f>0</f>
        <v>0</v>
      </c>
      <c r="L122" s="58">
        <f>0</f>
        <v>0</v>
      </c>
      <c r="M122" s="58">
        <f>0</f>
        <v>0</v>
      </c>
      <c r="N122" s="58">
        <f t="shared" si="14"/>
        <v>0</v>
      </c>
    </row>
    <row r="123" spans="1:15" ht="13" x14ac:dyDescent="0.15">
      <c r="A123" s="56" t="s">
        <v>104</v>
      </c>
      <c r="B123" s="58">
        <v>250</v>
      </c>
      <c r="C123" s="58">
        <v>250</v>
      </c>
      <c r="D123" s="58">
        <v>250</v>
      </c>
      <c r="E123" s="58">
        <v>250</v>
      </c>
      <c r="F123" s="58">
        <v>250</v>
      </c>
      <c r="G123" s="58">
        <v>250</v>
      </c>
      <c r="H123" s="58">
        <v>250</v>
      </c>
      <c r="I123" s="58">
        <v>250</v>
      </c>
      <c r="J123" s="58">
        <v>250</v>
      </c>
      <c r="K123" s="58">
        <v>250</v>
      </c>
      <c r="L123" s="58">
        <v>250</v>
      </c>
      <c r="M123" s="58">
        <v>250</v>
      </c>
      <c r="N123" s="58">
        <f t="shared" si="14"/>
        <v>3000</v>
      </c>
    </row>
    <row r="124" spans="1:15" ht="13" x14ac:dyDescent="0.15">
      <c r="A124" s="56" t="s">
        <v>200</v>
      </c>
      <c r="B124" s="58">
        <f>0</f>
        <v>0</v>
      </c>
      <c r="C124" s="58">
        <f>0</f>
        <v>0</v>
      </c>
      <c r="D124" s="58">
        <f>0</f>
        <v>0</v>
      </c>
      <c r="E124" s="58">
        <f>0</f>
        <v>0</v>
      </c>
      <c r="F124" s="58">
        <f>0</f>
        <v>0</v>
      </c>
      <c r="G124" s="58">
        <f>0</f>
        <v>0</v>
      </c>
      <c r="H124" s="58">
        <f>0</f>
        <v>0</v>
      </c>
      <c r="I124" s="58">
        <f>0</f>
        <v>0</v>
      </c>
      <c r="J124" s="58">
        <f>0</f>
        <v>0</v>
      </c>
      <c r="K124" s="58">
        <v>1000</v>
      </c>
      <c r="L124" s="58">
        <v>1500</v>
      </c>
      <c r="M124" s="58">
        <f>0</f>
        <v>0</v>
      </c>
      <c r="N124" s="58">
        <f t="shared" si="14"/>
        <v>2500</v>
      </c>
    </row>
    <row r="125" spans="1:15" ht="26" x14ac:dyDescent="0.15">
      <c r="A125" s="56" t="s">
        <v>105</v>
      </c>
      <c r="B125" s="58">
        <f>3558.71+1000</f>
        <v>4558.71</v>
      </c>
      <c r="C125" s="58">
        <f>3558.71+1000</f>
        <v>4558.71</v>
      </c>
      <c r="D125" s="58">
        <f>1200</f>
        <v>1200</v>
      </c>
      <c r="E125" s="58">
        <f>0</f>
        <v>0</v>
      </c>
      <c r="F125" s="58">
        <f>0</f>
        <v>0</v>
      </c>
      <c r="G125" s="58">
        <f>0</f>
        <v>0</v>
      </c>
      <c r="H125" s="58">
        <f>0</f>
        <v>0</v>
      </c>
      <c r="I125" s="58">
        <f>3558.71+600</f>
        <v>4158.71</v>
      </c>
      <c r="J125" s="58">
        <f>3558.71</f>
        <v>3558.71</v>
      </c>
      <c r="K125" s="58">
        <f>3558.71+600</f>
        <v>4158.71</v>
      </c>
      <c r="L125" s="58">
        <v>3558.71</v>
      </c>
      <c r="M125" s="58">
        <v>3558.71</v>
      </c>
      <c r="N125" s="58">
        <f t="shared" si="14"/>
        <v>29310.969999999998</v>
      </c>
      <c r="O125" s="54" t="s">
        <v>270</v>
      </c>
    </row>
    <row r="126" spans="1:15" s="80" customFormat="1" ht="13" x14ac:dyDescent="0.15">
      <c r="A126" s="78" t="s">
        <v>106</v>
      </c>
      <c r="B126" s="81">
        <f t="shared" ref="B126:M126" si="20">((((B121)+(B122))+(B123))+(B124))+(B125)</f>
        <v>4808.71</v>
      </c>
      <c r="C126" s="81">
        <f t="shared" si="20"/>
        <v>4808.71</v>
      </c>
      <c r="D126" s="81">
        <f t="shared" si="20"/>
        <v>1450</v>
      </c>
      <c r="E126" s="81">
        <f t="shared" si="20"/>
        <v>250</v>
      </c>
      <c r="F126" s="81">
        <f t="shared" si="20"/>
        <v>250</v>
      </c>
      <c r="G126" s="81">
        <f t="shared" si="20"/>
        <v>250</v>
      </c>
      <c r="H126" s="81">
        <f t="shared" si="20"/>
        <v>250</v>
      </c>
      <c r="I126" s="81">
        <f t="shared" si="20"/>
        <v>4408.71</v>
      </c>
      <c r="J126" s="81">
        <f t="shared" si="20"/>
        <v>3808.71</v>
      </c>
      <c r="K126" s="81">
        <f t="shared" si="20"/>
        <v>5408.71</v>
      </c>
      <c r="L126" s="81">
        <f t="shared" si="20"/>
        <v>5308.71</v>
      </c>
      <c r="M126" s="81">
        <f t="shared" si="20"/>
        <v>3808.71</v>
      </c>
      <c r="N126" s="81">
        <f t="shared" si="14"/>
        <v>34810.97</v>
      </c>
    </row>
    <row r="127" spans="1:15" ht="13" hidden="1" x14ac:dyDescent="0.15">
      <c r="A127" s="56" t="s">
        <v>132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8">
        <f t="shared" si="14"/>
        <v>0</v>
      </c>
    </row>
    <row r="128" spans="1:15" ht="13" hidden="1" x14ac:dyDescent="0.15">
      <c r="A128" s="56" t="s">
        <v>107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8">
        <f t="shared" si="14"/>
        <v>0</v>
      </c>
    </row>
    <row r="129" spans="1:14" ht="13" hidden="1" x14ac:dyDescent="0.15">
      <c r="A129" s="56" t="s">
        <v>108</v>
      </c>
      <c r="B129" s="58">
        <f>0</f>
        <v>0</v>
      </c>
      <c r="C129" s="58">
        <f>0</f>
        <v>0</v>
      </c>
      <c r="D129" s="58">
        <f>0</f>
        <v>0</v>
      </c>
      <c r="E129" s="58">
        <f>0</f>
        <v>0</v>
      </c>
      <c r="F129" s="58">
        <f>0</f>
        <v>0</v>
      </c>
      <c r="G129" s="58">
        <f>0</f>
        <v>0</v>
      </c>
      <c r="H129" s="58">
        <f>0</f>
        <v>0</v>
      </c>
      <c r="I129" s="58">
        <f>0</f>
        <v>0</v>
      </c>
      <c r="J129" s="58">
        <f>0</f>
        <v>0</v>
      </c>
      <c r="K129" s="58">
        <f>0</f>
        <v>0</v>
      </c>
      <c r="L129" s="58">
        <f>0</f>
        <v>0</v>
      </c>
      <c r="M129" s="58">
        <f>0</f>
        <v>0</v>
      </c>
      <c r="N129" s="58">
        <f t="shared" si="14"/>
        <v>0</v>
      </c>
    </row>
    <row r="130" spans="1:14" ht="13" hidden="1" x14ac:dyDescent="0.15">
      <c r="A130" s="56" t="s">
        <v>109</v>
      </c>
      <c r="B130" s="73">
        <f t="shared" ref="B130:M130" si="21">(B128)+(B129)</f>
        <v>0</v>
      </c>
      <c r="C130" s="73">
        <f t="shared" si="21"/>
        <v>0</v>
      </c>
      <c r="D130" s="73">
        <f t="shared" si="21"/>
        <v>0</v>
      </c>
      <c r="E130" s="73">
        <f t="shared" si="21"/>
        <v>0</v>
      </c>
      <c r="F130" s="73">
        <f t="shared" si="21"/>
        <v>0</v>
      </c>
      <c r="G130" s="73">
        <f t="shared" si="21"/>
        <v>0</v>
      </c>
      <c r="H130" s="73">
        <f t="shared" si="21"/>
        <v>0</v>
      </c>
      <c r="I130" s="73">
        <f t="shared" si="21"/>
        <v>0</v>
      </c>
      <c r="J130" s="73">
        <f t="shared" si="21"/>
        <v>0</v>
      </c>
      <c r="K130" s="73">
        <f t="shared" si="21"/>
        <v>0</v>
      </c>
      <c r="L130" s="73">
        <f t="shared" si="21"/>
        <v>0</v>
      </c>
      <c r="M130" s="73">
        <f t="shared" si="21"/>
        <v>0</v>
      </c>
      <c r="N130" s="73">
        <f t="shared" si="14"/>
        <v>0</v>
      </c>
    </row>
    <row r="131" spans="1:14" ht="13" hidden="1" x14ac:dyDescent="0.15">
      <c r="A131" s="56" t="s">
        <v>110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8">
        <f t="shared" si="14"/>
        <v>0</v>
      </c>
    </row>
    <row r="132" spans="1:14" ht="13" hidden="1" x14ac:dyDescent="0.15">
      <c r="A132" s="56" t="s">
        <v>111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8">
        <f t="shared" si="14"/>
        <v>0</v>
      </c>
    </row>
    <row r="133" spans="1:14" ht="13" hidden="1" x14ac:dyDescent="0.15">
      <c r="A133" s="56" t="s">
        <v>112</v>
      </c>
      <c r="B133" s="58">
        <f>0</f>
        <v>0</v>
      </c>
      <c r="C133" s="58">
        <f>0</f>
        <v>0</v>
      </c>
      <c r="D133" s="58">
        <f>0</f>
        <v>0</v>
      </c>
      <c r="E133" s="58">
        <f>0</f>
        <v>0</v>
      </c>
      <c r="F133" s="58">
        <f>0</f>
        <v>0</v>
      </c>
      <c r="G133" s="58">
        <f>0</f>
        <v>0</v>
      </c>
      <c r="H133" s="58">
        <f>0</f>
        <v>0</v>
      </c>
      <c r="I133" s="58">
        <f>0</f>
        <v>0</v>
      </c>
      <c r="J133" s="58">
        <f>0</f>
        <v>0</v>
      </c>
      <c r="K133" s="58">
        <f>0</f>
        <v>0</v>
      </c>
      <c r="L133" s="58">
        <f>0</f>
        <v>0</v>
      </c>
      <c r="M133" s="58">
        <f>0</f>
        <v>0</v>
      </c>
      <c r="N133" s="58">
        <f t="shared" si="14"/>
        <v>0</v>
      </c>
    </row>
    <row r="134" spans="1:14" ht="13" hidden="1" x14ac:dyDescent="0.15">
      <c r="A134" s="56" t="s">
        <v>113</v>
      </c>
      <c r="B134" s="58">
        <f>0</f>
        <v>0</v>
      </c>
      <c r="C134" s="58">
        <f>0</f>
        <v>0</v>
      </c>
      <c r="D134" s="58">
        <f>0</f>
        <v>0</v>
      </c>
      <c r="E134" s="58">
        <f>0</f>
        <v>0</v>
      </c>
      <c r="F134" s="58">
        <f>0</f>
        <v>0</v>
      </c>
      <c r="G134" s="58">
        <f>0</f>
        <v>0</v>
      </c>
      <c r="H134" s="58">
        <f>0</f>
        <v>0</v>
      </c>
      <c r="I134" s="58">
        <f>0</f>
        <v>0</v>
      </c>
      <c r="J134" s="58">
        <f>0</f>
        <v>0</v>
      </c>
      <c r="K134" s="58">
        <f>0</f>
        <v>0</v>
      </c>
      <c r="L134" s="58">
        <f>0</f>
        <v>0</v>
      </c>
      <c r="M134" s="58">
        <f>0</f>
        <v>0</v>
      </c>
      <c r="N134" s="58">
        <f t="shared" si="14"/>
        <v>0</v>
      </c>
    </row>
    <row r="135" spans="1:14" ht="13" hidden="1" x14ac:dyDescent="0.15">
      <c r="A135" s="56" t="s">
        <v>114</v>
      </c>
      <c r="B135" s="73">
        <f t="shared" ref="B135:M135" si="22">((B132)+(B133))+(B134)</f>
        <v>0</v>
      </c>
      <c r="C135" s="73">
        <f t="shared" si="22"/>
        <v>0</v>
      </c>
      <c r="D135" s="73">
        <f t="shared" si="22"/>
        <v>0</v>
      </c>
      <c r="E135" s="73">
        <f t="shared" si="22"/>
        <v>0</v>
      </c>
      <c r="F135" s="73">
        <f t="shared" si="22"/>
        <v>0</v>
      </c>
      <c r="G135" s="73">
        <f t="shared" si="22"/>
        <v>0</v>
      </c>
      <c r="H135" s="73">
        <f t="shared" si="22"/>
        <v>0</v>
      </c>
      <c r="I135" s="73">
        <f t="shared" si="22"/>
        <v>0</v>
      </c>
      <c r="J135" s="73">
        <f t="shared" si="22"/>
        <v>0</v>
      </c>
      <c r="K135" s="73">
        <f t="shared" si="22"/>
        <v>0</v>
      </c>
      <c r="L135" s="73">
        <f t="shared" si="22"/>
        <v>0</v>
      </c>
      <c r="M135" s="73">
        <f t="shared" si="22"/>
        <v>0</v>
      </c>
      <c r="N135" s="73">
        <f t="shared" ref="N135:N140" si="23">(((((((((((B135)+(C135))+(D135))+(E135))+(F135))+(G135))+(H135))+(I135))+(J135))+(K135))+(L135))+(M135)</f>
        <v>0</v>
      </c>
    </row>
    <row r="136" spans="1:14" ht="13" hidden="1" x14ac:dyDescent="0.15">
      <c r="A136" s="56" t="s">
        <v>115</v>
      </c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8">
        <f t="shared" si="23"/>
        <v>0</v>
      </c>
    </row>
    <row r="137" spans="1:14" ht="13" hidden="1" x14ac:dyDescent="0.15">
      <c r="A137" s="56" t="s">
        <v>116</v>
      </c>
      <c r="B137" s="58">
        <f>0</f>
        <v>0</v>
      </c>
      <c r="C137" s="58">
        <f>0</f>
        <v>0</v>
      </c>
      <c r="D137" s="58">
        <f>0</f>
        <v>0</v>
      </c>
      <c r="E137" s="58">
        <f>0</f>
        <v>0</v>
      </c>
      <c r="F137" s="58">
        <f>0</f>
        <v>0</v>
      </c>
      <c r="G137" s="58">
        <f>0</f>
        <v>0</v>
      </c>
      <c r="H137" s="58">
        <f>0</f>
        <v>0</v>
      </c>
      <c r="I137" s="58">
        <f>0</f>
        <v>0</v>
      </c>
      <c r="J137" s="58">
        <f>0</f>
        <v>0</v>
      </c>
      <c r="K137" s="58">
        <f>0</f>
        <v>0</v>
      </c>
      <c r="L137" s="58">
        <f>0</f>
        <v>0</v>
      </c>
      <c r="M137" s="58">
        <f>0</f>
        <v>0</v>
      </c>
      <c r="N137" s="58">
        <f t="shared" si="23"/>
        <v>0</v>
      </c>
    </row>
    <row r="138" spans="1:14" ht="13" hidden="1" x14ac:dyDescent="0.15">
      <c r="A138" s="56" t="s">
        <v>117</v>
      </c>
      <c r="B138" s="73">
        <f t="shared" ref="B138:M138" si="24">(B136)+(B137)</f>
        <v>0</v>
      </c>
      <c r="C138" s="73">
        <f t="shared" si="24"/>
        <v>0</v>
      </c>
      <c r="D138" s="73">
        <f t="shared" si="24"/>
        <v>0</v>
      </c>
      <c r="E138" s="73">
        <f t="shared" si="24"/>
        <v>0</v>
      </c>
      <c r="F138" s="73">
        <f t="shared" si="24"/>
        <v>0</v>
      </c>
      <c r="G138" s="73">
        <f t="shared" si="24"/>
        <v>0</v>
      </c>
      <c r="H138" s="73">
        <f t="shared" si="24"/>
        <v>0</v>
      </c>
      <c r="I138" s="73">
        <f t="shared" si="24"/>
        <v>0</v>
      </c>
      <c r="J138" s="73">
        <f t="shared" si="24"/>
        <v>0</v>
      </c>
      <c r="K138" s="73">
        <f t="shared" si="24"/>
        <v>0</v>
      </c>
      <c r="L138" s="73">
        <f t="shared" si="24"/>
        <v>0</v>
      </c>
      <c r="M138" s="73">
        <f t="shared" si="24"/>
        <v>0</v>
      </c>
      <c r="N138" s="73">
        <f t="shared" si="23"/>
        <v>0</v>
      </c>
    </row>
    <row r="139" spans="1:14" ht="13" hidden="1" x14ac:dyDescent="0.15">
      <c r="A139" s="56" t="s">
        <v>118</v>
      </c>
      <c r="B139" s="73">
        <f t="shared" ref="B139:M139" si="25">((B131)+(B135))+(B138)</f>
        <v>0</v>
      </c>
      <c r="C139" s="73">
        <f t="shared" si="25"/>
        <v>0</v>
      </c>
      <c r="D139" s="73">
        <f t="shared" si="25"/>
        <v>0</v>
      </c>
      <c r="E139" s="73">
        <f t="shared" si="25"/>
        <v>0</v>
      </c>
      <c r="F139" s="73">
        <f t="shared" si="25"/>
        <v>0</v>
      </c>
      <c r="G139" s="73">
        <f t="shared" si="25"/>
        <v>0</v>
      </c>
      <c r="H139" s="73">
        <f t="shared" si="25"/>
        <v>0</v>
      </c>
      <c r="I139" s="73">
        <f t="shared" si="25"/>
        <v>0</v>
      </c>
      <c r="J139" s="73">
        <f t="shared" si="25"/>
        <v>0</v>
      </c>
      <c r="K139" s="73">
        <f t="shared" si="25"/>
        <v>0</v>
      </c>
      <c r="L139" s="73">
        <f t="shared" si="25"/>
        <v>0</v>
      </c>
      <c r="M139" s="73">
        <f t="shared" si="25"/>
        <v>0</v>
      </c>
      <c r="N139" s="73">
        <f t="shared" si="23"/>
        <v>0</v>
      </c>
    </row>
    <row r="140" spans="1:14" ht="13" hidden="1" x14ac:dyDescent="0.15">
      <c r="A140" s="56" t="s">
        <v>133</v>
      </c>
      <c r="B140" s="73">
        <f t="shared" ref="B140:M140" si="26">((B127)+(B130))+(B139)</f>
        <v>0</v>
      </c>
      <c r="C140" s="73">
        <f t="shared" si="26"/>
        <v>0</v>
      </c>
      <c r="D140" s="73">
        <f t="shared" si="26"/>
        <v>0</v>
      </c>
      <c r="E140" s="73">
        <f t="shared" si="26"/>
        <v>0</v>
      </c>
      <c r="F140" s="73">
        <f t="shared" si="26"/>
        <v>0</v>
      </c>
      <c r="G140" s="73">
        <f t="shared" si="26"/>
        <v>0</v>
      </c>
      <c r="H140" s="73">
        <f t="shared" si="26"/>
        <v>0</v>
      </c>
      <c r="I140" s="73">
        <f t="shared" si="26"/>
        <v>0</v>
      </c>
      <c r="J140" s="73">
        <f t="shared" si="26"/>
        <v>0</v>
      </c>
      <c r="K140" s="73">
        <f t="shared" si="26"/>
        <v>0</v>
      </c>
      <c r="L140" s="73">
        <f t="shared" si="26"/>
        <v>0</v>
      </c>
      <c r="M140" s="73">
        <f t="shared" si="26"/>
        <v>0</v>
      </c>
      <c r="N140" s="73">
        <f t="shared" si="23"/>
        <v>0</v>
      </c>
    </row>
    <row r="141" spans="1:14" x14ac:dyDescent="0.15">
      <c r="A141" s="56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</row>
    <row r="142" spans="1:14" s="80" customFormat="1" ht="13" x14ac:dyDescent="0.15">
      <c r="A142" s="78" t="s">
        <v>119</v>
      </c>
      <c r="B142" s="81">
        <f>(((((((B67)+(B87))+(B98))+(B104))+(B110))+(B119))+(B126))+(B140)</f>
        <v>27680.159076923075</v>
      </c>
      <c r="C142" s="81">
        <f t="shared" ref="C142:N142" si="27">(((((((C67)+(C87))+(C98))+(C104))+(C110))+(C119))+(C126))+(C140)</f>
        <v>38082.725692307693</v>
      </c>
      <c r="D142" s="81">
        <f t="shared" si="27"/>
        <v>45635.771730769229</v>
      </c>
      <c r="E142" s="81">
        <f t="shared" si="27"/>
        <v>47078.341153846151</v>
      </c>
      <c r="F142" s="81">
        <f t="shared" si="27"/>
        <v>39045.091153846151</v>
      </c>
      <c r="G142" s="81">
        <f t="shared" si="27"/>
        <v>28233.711153846154</v>
      </c>
      <c r="H142" s="81">
        <f t="shared" si="27"/>
        <v>32593.744230769229</v>
      </c>
      <c r="I142" s="81">
        <f t="shared" si="27"/>
        <v>34543.294230769228</v>
      </c>
      <c r="J142" s="81">
        <f t="shared" si="27"/>
        <v>45837.526346153842</v>
      </c>
      <c r="K142" s="81">
        <f t="shared" si="27"/>
        <v>37949.654230769229</v>
      </c>
      <c r="L142" s="81">
        <f t="shared" si="27"/>
        <v>34704.864230769228</v>
      </c>
      <c r="M142" s="81">
        <f t="shared" si="27"/>
        <v>33229.864230769228</v>
      </c>
      <c r="N142" s="81">
        <f t="shared" si="27"/>
        <v>444614.74746153841</v>
      </c>
    </row>
    <row r="143" spans="1:14" x14ac:dyDescent="0.15">
      <c r="A143" s="56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</row>
    <row r="144" spans="1:14" s="77" customFormat="1" ht="13" x14ac:dyDescent="0.15">
      <c r="A144" s="75" t="s">
        <v>120</v>
      </c>
      <c r="B144" s="76">
        <f t="shared" ref="B144:N144" si="28">(B57)-(B142)</f>
        <v>56484.340923076925</v>
      </c>
      <c r="C144" s="76">
        <f t="shared" si="28"/>
        <v>61081.774307692307</v>
      </c>
      <c r="D144" s="76">
        <f t="shared" si="28"/>
        <v>69528.728269230778</v>
      </c>
      <c r="E144" s="76">
        <f t="shared" si="28"/>
        <v>-2413.8411538461514</v>
      </c>
      <c r="F144" s="76">
        <f t="shared" si="28"/>
        <v>61119.408846153849</v>
      </c>
      <c r="G144" s="76">
        <f t="shared" si="28"/>
        <v>-13569.211153846154</v>
      </c>
      <c r="H144" s="76">
        <f t="shared" si="28"/>
        <v>-27429.244230769229</v>
      </c>
      <c r="I144" s="76">
        <f t="shared" si="28"/>
        <v>-24878.794230769228</v>
      </c>
      <c r="J144" s="76">
        <f t="shared" si="28"/>
        <v>7826.9736538461584</v>
      </c>
      <c r="K144" s="76">
        <f t="shared" si="28"/>
        <v>-3285.1542307692289</v>
      </c>
      <c r="L144" s="76">
        <f t="shared" si="28"/>
        <v>4459.635769230772</v>
      </c>
      <c r="M144" s="76">
        <f t="shared" si="28"/>
        <v>-24065.364230769228</v>
      </c>
      <c r="N144" s="76">
        <f t="shared" si="28"/>
        <v>164859.25253846159</v>
      </c>
    </row>
    <row r="145" spans="1:15" x14ac:dyDescent="0.15">
      <c r="A145" s="56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</row>
    <row r="146" spans="1:15" s="77" customFormat="1" ht="14" thickBot="1" x14ac:dyDescent="0.2">
      <c r="A146" s="75" t="s">
        <v>210</v>
      </c>
      <c r="B146" s="88">
        <f>+B6+B144</f>
        <v>131492.34092307693</v>
      </c>
      <c r="C146" s="88">
        <f>+B146+C144</f>
        <v>192574.11523076924</v>
      </c>
      <c r="D146" s="88">
        <f t="shared" ref="D146:M146" si="29">+C146+D144</f>
        <v>262102.84350000002</v>
      </c>
      <c r="E146" s="88">
        <f t="shared" si="29"/>
        <v>259689.00234615387</v>
      </c>
      <c r="F146" s="88">
        <f t="shared" si="29"/>
        <v>320808.41119230771</v>
      </c>
      <c r="G146" s="88">
        <f t="shared" si="29"/>
        <v>307239.20003846154</v>
      </c>
      <c r="H146" s="88">
        <f t="shared" si="29"/>
        <v>279809.95580769231</v>
      </c>
      <c r="I146" s="88">
        <f t="shared" si="29"/>
        <v>254931.1615769231</v>
      </c>
      <c r="J146" s="88">
        <f t="shared" si="29"/>
        <v>262758.13523076929</v>
      </c>
      <c r="K146" s="88">
        <f t="shared" si="29"/>
        <v>259472.98100000006</v>
      </c>
      <c r="L146" s="88">
        <f t="shared" si="29"/>
        <v>263932.61676923081</v>
      </c>
      <c r="M146" s="88">
        <f t="shared" si="29"/>
        <v>239867.25253846159</v>
      </c>
      <c r="N146" s="88"/>
    </row>
    <row r="147" spans="1:15" s="65" customFormat="1" ht="13" thickTop="1" x14ac:dyDescent="0.15">
      <c r="A147" s="63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5" ht="17.25" customHeight="1" x14ac:dyDescent="0.15">
      <c r="A148" s="89" t="s">
        <v>211</v>
      </c>
      <c r="B148" s="49">
        <v>65572</v>
      </c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</row>
    <row r="149" spans="1:15" s="61" customFormat="1" ht="17.25" customHeight="1" x14ac:dyDescent="0.15">
      <c r="A149" s="59" t="s">
        <v>215</v>
      </c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1:15" ht="13" x14ac:dyDescent="0.15">
      <c r="A150" s="56" t="s">
        <v>212</v>
      </c>
      <c r="B150" s="90">
        <v>0</v>
      </c>
      <c r="C150" s="90">
        <v>500000</v>
      </c>
      <c r="D150" s="90">
        <v>0</v>
      </c>
      <c r="E150" s="90">
        <v>0</v>
      </c>
      <c r="F150" s="90">
        <v>0</v>
      </c>
      <c r="G150" s="90">
        <v>0</v>
      </c>
      <c r="H150" s="90">
        <f>0</f>
        <v>0</v>
      </c>
      <c r="I150" s="90">
        <v>0</v>
      </c>
      <c r="J150" s="90">
        <v>0</v>
      </c>
      <c r="K150" s="90">
        <f>0</f>
        <v>0</v>
      </c>
      <c r="L150" s="90">
        <f>0</f>
        <v>0</v>
      </c>
      <c r="M150" s="90">
        <f>0</f>
        <v>0</v>
      </c>
      <c r="N150" s="90">
        <f t="shared" ref="N150" si="30">(((((((((((B150)+(C150))+(D150))+(E150))+(F150))+(G150))+(H150))+(I150))+(J150))+(K150))+(L150))+(M150)</f>
        <v>500000</v>
      </c>
      <c r="O150" s="53" t="s">
        <v>214</v>
      </c>
    </row>
    <row r="151" spans="1:15" s="71" customFormat="1" ht="26" x14ac:dyDescent="0.15">
      <c r="A151" s="69" t="s">
        <v>43</v>
      </c>
      <c r="B151" s="70">
        <f>0</f>
        <v>0</v>
      </c>
      <c r="C151" s="70">
        <f>0</f>
        <v>0</v>
      </c>
      <c r="D151" s="70">
        <f>0</f>
        <v>0</v>
      </c>
      <c r="E151" s="70">
        <f>0</f>
        <v>0</v>
      </c>
      <c r="F151" s="70">
        <f>0</f>
        <v>0</v>
      </c>
      <c r="G151" s="70">
        <f>0</f>
        <v>0</v>
      </c>
      <c r="H151" s="70">
        <f>0</f>
        <v>0</v>
      </c>
      <c r="I151" s="70">
        <f>0</f>
        <v>0</v>
      </c>
      <c r="J151" s="70">
        <f>0</f>
        <v>0</v>
      </c>
      <c r="K151" s="70">
        <f>0</f>
        <v>0</v>
      </c>
      <c r="L151" s="70">
        <f>0</f>
        <v>0</v>
      </c>
      <c r="M151" s="70">
        <f>0</f>
        <v>0</v>
      </c>
      <c r="N151" s="70">
        <f>(((((((((((B151)+(C151))+(D151))+(E151))+(F151))+(G151))+(H151))+(I151))+(J151))+(K151))+(L151))+(M151)</f>
        <v>0</v>
      </c>
      <c r="O151" s="71" t="s">
        <v>180</v>
      </c>
    </row>
    <row r="152" spans="1:15" s="71" customFormat="1" ht="26" x14ac:dyDescent="0.15">
      <c r="A152" s="69" t="s">
        <v>44</v>
      </c>
      <c r="B152" s="70">
        <f>0</f>
        <v>0</v>
      </c>
      <c r="C152" s="70">
        <f>0</f>
        <v>0</v>
      </c>
      <c r="D152" s="70">
        <f>0</f>
        <v>0</v>
      </c>
      <c r="E152" s="70">
        <f>0</f>
        <v>0</v>
      </c>
      <c r="F152" s="70">
        <f>0</f>
        <v>0</v>
      </c>
      <c r="G152" s="70">
        <f>0</f>
        <v>0</v>
      </c>
      <c r="H152" s="70">
        <f>0</f>
        <v>0</v>
      </c>
      <c r="I152" s="70">
        <f>0</f>
        <v>0</v>
      </c>
      <c r="J152" s="70">
        <f>0</f>
        <v>0</v>
      </c>
      <c r="K152" s="70">
        <f>0</f>
        <v>0</v>
      </c>
      <c r="L152" s="70">
        <f>0</f>
        <v>0</v>
      </c>
      <c r="M152" s="70">
        <f>0</f>
        <v>0</v>
      </c>
      <c r="N152" s="70">
        <f>(((((((((((B152)+(C152))+(D152))+(E152))+(F152))+(G152))+(H152))+(I152))+(J152))+(K152))+(L152))+(M152)</f>
        <v>0</v>
      </c>
      <c r="O152" s="71" t="s">
        <v>180</v>
      </c>
    </row>
    <row r="153" spans="1:15" s="71" customFormat="1" ht="13" hidden="1" x14ac:dyDescent="0.15">
      <c r="A153" s="72" t="s">
        <v>45</v>
      </c>
      <c r="B153" s="70">
        <f>0</f>
        <v>0</v>
      </c>
      <c r="C153" s="70">
        <f>0</f>
        <v>0</v>
      </c>
      <c r="D153" s="70">
        <f>0</f>
        <v>0</v>
      </c>
      <c r="E153" s="70">
        <f>0</f>
        <v>0</v>
      </c>
      <c r="F153" s="70">
        <f>0</f>
        <v>0</v>
      </c>
      <c r="G153" s="70">
        <f>0</f>
        <v>0</v>
      </c>
      <c r="H153" s="70">
        <f>0</f>
        <v>0</v>
      </c>
      <c r="I153" s="70">
        <f>0</f>
        <v>0</v>
      </c>
      <c r="J153" s="70">
        <f>0</f>
        <v>0</v>
      </c>
      <c r="K153" s="70">
        <f>0</f>
        <v>0</v>
      </c>
      <c r="L153" s="70">
        <f>0</f>
        <v>0</v>
      </c>
      <c r="M153" s="70">
        <f>0</f>
        <v>0</v>
      </c>
      <c r="N153" s="70">
        <f t="shared" ref="N153:N154" si="31">(((((((((((B153)+(C153))+(D153))+(E153))+(F153))+(G153))+(H153))+(I153))+(J153))+(K153))+(L153))+(M153)</f>
        <v>0</v>
      </c>
      <c r="O153" s="71" t="s">
        <v>180</v>
      </c>
    </row>
    <row r="154" spans="1:15" s="71" customFormat="1" ht="26" x14ac:dyDescent="0.15">
      <c r="A154" s="72" t="s">
        <v>194</v>
      </c>
      <c r="B154" s="70">
        <f>0</f>
        <v>0</v>
      </c>
      <c r="C154" s="70">
        <f>0</f>
        <v>0</v>
      </c>
      <c r="D154" s="70">
        <f>0</f>
        <v>0</v>
      </c>
      <c r="E154" s="70">
        <f>0</f>
        <v>0</v>
      </c>
      <c r="F154" s="70">
        <f>0</f>
        <v>0</v>
      </c>
      <c r="G154" s="70">
        <f>0</f>
        <v>0</v>
      </c>
      <c r="H154" s="70">
        <f>0</f>
        <v>0</v>
      </c>
      <c r="I154" s="70">
        <f>0</f>
        <v>0</v>
      </c>
      <c r="J154" s="70">
        <f>0</f>
        <v>0</v>
      </c>
      <c r="K154" s="70">
        <f>0</f>
        <v>0</v>
      </c>
      <c r="L154" s="70">
        <f>0</f>
        <v>0</v>
      </c>
      <c r="M154" s="70">
        <f>0</f>
        <v>0</v>
      </c>
      <c r="N154" s="70">
        <f t="shared" si="31"/>
        <v>0</v>
      </c>
      <c r="O154" s="71" t="s">
        <v>180</v>
      </c>
    </row>
    <row r="155" spans="1:15" s="48" customFormat="1" ht="15" x14ac:dyDescent="0.2">
      <c r="A155" s="59" t="s">
        <v>46</v>
      </c>
      <c r="B155" s="96">
        <f>SUM(B150:B154)</f>
        <v>0</v>
      </c>
      <c r="C155" s="96">
        <f t="shared" ref="C155:N155" si="32">SUM(C150:C154)</f>
        <v>500000</v>
      </c>
      <c r="D155" s="96">
        <f t="shared" si="32"/>
        <v>0</v>
      </c>
      <c r="E155" s="96">
        <f t="shared" si="32"/>
        <v>0</v>
      </c>
      <c r="F155" s="96">
        <f t="shared" si="32"/>
        <v>0</v>
      </c>
      <c r="G155" s="96">
        <f t="shared" si="32"/>
        <v>0</v>
      </c>
      <c r="H155" s="96">
        <f t="shared" si="32"/>
        <v>0</v>
      </c>
      <c r="I155" s="96">
        <f t="shared" si="32"/>
        <v>0</v>
      </c>
      <c r="J155" s="96">
        <f t="shared" si="32"/>
        <v>0</v>
      </c>
      <c r="K155" s="96">
        <f t="shared" si="32"/>
        <v>0</v>
      </c>
      <c r="L155" s="96">
        <f t="shared" si="32"/>
        <v>0</v>
      </c>
      <c r="M155" s="96">
        <f t="shared" si="32"/>
        <v>0</v>
      </c>
      <c r="N155" s="95">
        <f t="shared" si="32"/>
        <v>500000</v>
      </c>
      <c r="O155" s="52"/>
    </row>
    <row r="156" spans="1:15" s="65" customFormat="1" x14ac:dyDescent="0.15">
      <c r="A156" s="91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</row>
    <row r="157" spans="1:15" s="80" customFormat="1" ht="13" x14ac:dyDescent="0.15">
      <c r="A157" s="78" t="s">
        <v>217</v>
      </c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</row>
    <row r="158" spans="1:15" ht="13" hidden="1" x14ac:dyDescent="0.15">
      <c r="A158" s="56" t="s">
        <v>121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</row>
    <row r="159" spans="1:15" ht="13" hidden="1" x14ac:dyDescent="0.15">
      <c r="A159" s="56" t="s">
        <v>122</v>
      </c>
      <c r="B159" s="58">
        <f>0</f>
        <v>0</v>
      </c>
      <c r="C159" s="58">
        <f>0</f>
        <v>0</v>
      </c>
      <c r="D159" s="58">
        <f>0</f>
        <v>0</v>
      </c>
      <c r="E159" s="58">
        <f>0</f>
        <v>0</v>
      </c>
      <c r="F159" s="58">
        <f>0</f>
        <v>0</v>
      </c>
      <c r="G159" s="58">
        <f>0</f>
        <v>0</v>
      </c>
      <c r="H159" s="58">
        <f>0</f>
        <v>0</v>
      </c>
      <c r="I159" s="58">
        <f>0</f>
        <v>0</v>
      </c>
      <c r="J159" s="58">
        <f>0</f>
        <v>0</v>
      </c>
      <c r="K159" s="58">
        <f>0</f>
        <v>0</v>
      </c>
      <c r="L159" s="58">
        <f>0</f>
        <v>0</v>
      </c>
      <c r="M159" s="58">
        <f>0</f>
        <v>0</v>
      </c>
      <c r="N159" s="58">
        <f t="shared" ref="N159:N172" si="33">(((((((((((B159)+(C159))+(D159))+(E159))+(F159))+(G159))+(H159))+(I159))+(J159))+(K159))+(L159))+(M159)</f>
        <v>0</v>
      </c>
    </row>
    <row r="160" spans="1:15" x14ac:dyDescent="0.15">
      <c r="A160" s="56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</row>
    <row r="161" spans="1:15" s="80" customFormat="1" ht="13" x14ac:dyDescent="0.15">
      <c r="A161" s="78" t="s">
        <v>218</v>
      </c>
      <c r="B161" s="79">
        <f>0</f>
        <v>0</v>
      </c>
      <c r="C161" s="79">
        <f>0</f>
        <v>0</v>
      </c>
      <c r="D161" s="79">
        <f>0</f>
        <v>0</v>
      </c>
      <c r="E161" s="79">
        <f>0</f>
        <v>0</v>
      </c>
      <c r="F161" s="79">
        <f>0</f>
        <v>0</v>
      </c>
      <c r="G161" s="79">
        <f>0</f>
        <v>0</v>
      </c>
      <c r="H161" s="79">
        <f>0</f>
        <v>0</v>
      </c>
      <c r="I161" s="79">
        <f>0</f>
        <v>0</v>
      </c>
      <c r="J161" s="79">
        <f>0</f>
        <v>0</v>
      </c>
      <c r="K161" s="79">
        <f>0</f>
        <v>0</v>
      </c>
      <c r="L161" s="79">
        <f>0</f>
        <v>0</v>
      </c>
      <c r="M161" s="79">
        <f>0</f>
        <v>0</v>
      </c>
      <c r="N161" s="79">
        <f t="shared" si="33"/>
        <v>0</v>
      </c>
    </row>
    <row r="162" spans="1:15" ht="13" x14ac:dyDescent="0.15">
      <c r="A162" s="56" t="s">
        <v>219</v>
      </c>
      <c r="B162" s="58">
        <f>0</f>
        <v>0</v>
      </c>
      <c r="C162" s="58">
        <v>42500</v>
      </c>
      <c r="D162" s="58">
        <f>0</f>
        <v>0</v>
      </c>
      <c r="E162" s="58">
        <v>42500</v>
      </c>
      <c r="F162" s="58">
        <f>0</f>
        <v>0</v>
      </c>
      <c r="G162" s="58">
        <f>0</f>
        <v>0</v>
      </c>
      <c r="H162" s="58">
        <f>0</f>
        <v>0</v>
      </c>
      <c r="I162" s="58">
        <f>0</f>
        <v>0</v>
      </c>
      <c r="J162" s="58">
        <f>0</f>
        <v>0</v>
      </c>
      <c r="K162" s="58">
        <f>0</f>
        <v>0</v>
      </c>
      <c r="L162" s="58">
        <f>0</f>
        <v>0</v>
      </c>
      <c r="M162" s="58">
        <f>0</f>
        <v>0</v>
      </c>
      <c r="N162" s="58">
        <f t="shared" si="33"/>
        <v>85000</v>
      </c>
      <c r="O162" s="53" t="s">
        <v>201</v>
      </c>
    </row>
    <row r="163" spans="1:15" ht="13" x14ac:dyDescent="0.15">
      <c r="A163" s="56" t="s">
        <v>220</v>
      </c>
      <c r="B163" s="58">
        <f>8650+5000</f>
        <v>13650</v>
      </c>
      <c r="C163" s="58">
        <v>3000</v>
      </c>
      <c r="D163" s="58">
        <v>3000</v>
      </c>
      <c r="E163" s="58">
        <v>3000</v>
      </c>
      <c r="F163" s="58">
        <v>1000</v>
      </c>
      <c r="G163" s="58">
        <f>8650+20000</f>
        <v>28650</v>
      </c>
      <c r="H163" s="58">
        <v>0</v>
      </c>
      <c r="I163" s="58">
        <f>0</f>
        <v>0</v>
      </c>
      <c r="J163" s="58">
        <v>0</v>
      </c>
      <c r="K163" s="58">
        <v>0</v>
      </c>
      <c r="L163" s="58">
        <f>0</f>
        <v>0</v>
      </c>
      <c r="M163" s="58">
        <f>0</f>
        <v>0</v>
      </c>
      <c r="N163" s="58">
        <f t="shared" si="33"/>
        <v>52300</v>
      </c>
      <c r="O163" s="53" t="s">
        <v>221</v>
      </c>
    </row>
    <row r="164" spans="1:15" ht="13" x14ac:dyDescent="0.15">
      <c r="A164" s="56" t="s">
        <v>222</v>
      </c>
      <c r="B164" s="58">
        <f>0</f>
        <v>0</v>
      </c>
      <c r="C164" s="58">
        <v>0</v>
      </c>
      <c r="D164" s="58">
        <v>25000</v>
      </c>
      <c r="E164" s="58">
        <f>0</f>
        <v>0</v>
      </c>
      <c r="F164" s="58">
        <f>0</f>
        <v>0</v>
      </c>
      <c r="G164" s="58">
        <f>0</f>
        <v>0</v>
      </c>
      <c r="H164" s="58">
        <f>0</f>
        <v>0</v>
      </c>
      <c r="I164" s="58">
        <f>0</f>
        <v>0</v>
      </c>
      <c r="J164" s="58">
        <f>0</f>
        <v>0</v>
      </c>
      <c r="K164" s="58">
        <f>0</f>
        <v>0</v>
      </c>
      <c r="L164" s="58">
        <f>0</f>
        <v>0</v>
      </c>
      <c r="M164" s="58">
        <f>0</f>
        <v>0</v>
      </c>
      <c r="N164" s="58">
        <f t="shared" si="33"/>
        <v>25000</v>
      </c>
    </row>
    <row r="165" spans="1:15" s="80" customFormat="1" ht="13" x14ac:dyDescent="0.15">
      <c r="A165" s="78" t="s">
        <v>223</v>
      </c>
      <c r="B165" s="81">
        <f t="shared" ref="B165:M165" si="34">(((B161)+(B162))+(B163))+(B164)</f>
        <v>13650</v>
      </c>
      <c r="C165" s="81">
        <f t="shared" si="34"/>
        <v>45500</v>
      </c>
      <c r="D165" s="81">
        <f t="shared" si="34"/>
        <v>28000</v>
      </c>
      <c r="E165" s="81">
        <f t="shared" si="34"/>
        <v>45500</v>
      </c>
      <c r="F165" s="81">
        <f t="shared" si="34"/>
        <v>1000</v>
      </c>
      <c r="G165" s="81">
        <f t="shared" si="34"/>
        <v>28650</v>
      </c>
      <c r="H165" s="81">
        <f t="shared" si="34"/>
        <v>0</v>
      </c>
      <c r="I165" s="81">
        <f t="shared" si="34"/>
        <v>0</v>
      </c>
      <c r="J165" s="81">
        <f t="shared" si="34"/>
        <v>0</v>
      </c>
      <c r="K165" s="81">
        <f t="shared" si="34"/>
        <v>0</v>
      </c>
      <c r="L165" s="81">
        <f t="shared" si="34"/>
        <v>0</v>
      </c>
      <c r="M165" s="81">
        <f t="shared" si="34"/>
        <v>0</v>
      </c>
      <c r="N165" s="81">
        <f t="shared" si="33"/>
        <v>162300</v>
      </c>
    </row>
    <row r="166" spans="1:15" x14ac:dyDescent="0.15">
      <c r="A166" s="56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</row>
    <row r="167" spans="1:15" ht="13" hidden="1" x14ac:dyDescent="0.15">
      <c r="A167" s="56" t="s">
        <v>123</v>
      </c>
      <c r="B167" s="58">
        <v>1</v>
      </c>
      <c r="C167" s="58">
        <f>0</f>
        <v>0</v>
      </c>
      <c r="D167" s="58">
        <v>1</v>
      </c>
      <c r="E167" s="58">
        <f>0</f>
        <v>0</v>
      </c>
      <c r="F167" s="58">
        <f>0</f>
        <v>0</v>
      </c>
      <c r="G167" s="58">
        <f>0</f>
        <v>0</v>
      </c>
      <c r="H167" s="58">
        <v>0</v>
      </c>
      <c r="I167" s="58">
        <v>0</v>
      </c>
      <c r="J167" s="58">
        <v>0</v>
      </c>
      <c r="K167" s="58">
        <f>0</f>
        <v>0</v>
      </c>
      <c r="L167" s="58">
        <f>0</f>
        <v>0</v>
      </c>
      <c r="M167" s="58">
        <f>0</f>
        <v>0</v>
      </c>
      <c r="N167" s="58">
        <f t="shared" ref="N167:N170" si="35">(((((((((((B167)+(C167))+(D167))+(E167))+(F167))+(G167))+(H167))+(I167))+(J167))+(K167))+(L167))+(M167)</f>
        <v>2</v>
      </c>
    </row>
    <row r="168" spans="1:15" ht="13" hidden="1" x14ac:dyDescent="0.15">
      <c r="A168" s="56" t="s">
        <v>124</v>
      </c>
      <c r="B168" s="58">
        <v>2</v>
      </c>
      <c r="C168" s="58">
        <f>0</f>
        <v>0</v>
      </c>
      <c r="D168" s="58">
        <v>2</v>
      </c>
      <c r="E168" s="58">
        <f>0</f>
        <v>0</v>
      </c>
      <c r="F168" s="58">
        <f>0</f>
        <v>0</v>
      </c>
      <c r="G168" s="58">
        <f>0</f>
        <v>0</v>
      </c>
      <c r="H168" s="58">
        <v>0</v>
      </c>
      <c r="I168" s="58">
        <v>0</v>
      </c>
      <c r="J168" s="58">
        <v>0</v>
      </c>
      <c r="K168" s="58">
        <f>0</f>
        <v>0</v>
      </c>
      <c r="L168" s="58">
        <f>0</f>
        <v>0</v>
      </c>
      <c r="M168" s="58">
        <f>0</f>
        <v>0</v>
      </c>
      <c r="N168" s="58">
        <f t="shared" si="35"/>
        <v>4</v>
      </c>
    </row>
    <row r="169" spans="1:15" ht="13" hidden="1" x14ac:dyDescent="0.15">
      <c r="A169" s="56" t="s">
        <v>125</v>
      </c>
      <c r="B169" s="58">
        <v>3</v>
      </c>
      <c r="C169" s="58">
        <f>0</f>
        <v>0</v>
      </c>
      <c r="D169" s="58">
        <v>3</v>
      </c>
      <c r="E169" s="58">
        <f>0</f>
        <v>0</v>
      </c>
      <c r="F169" s="58">
        <f>0</f>
        <v>0</v>
      </c>
      <c r="G169" s="58">
        <f>0</f>
        <v>0</v>
      </c>
      <c r="H169" s="58">
        <v>0</v>
      </c>
      <c r="I169" s="58">
        <v>0</v>
      </c>
      <c r="J169" s="58">
        <v>0</v>
      </c>
      <c r="K169" s="58">
        <f>0</f>
        <v>0</v>
      </c>
      <c r="L169" s="58">
        <f>0</f>
        <v>0</v>
      </c>
      <c r="M169" s="58">
        <f>0</f>
        <v>0</v>
      </c>
      <c r="N169" s="58">
        <f t="shared" si="35"/>
        <v>6</v>
      </c>
    </row>
    <row r="170" spans="1:15" ht="13" hidden="1" x14ac:dyDescent="0.15">
      <c r="A170" s="56" t="s">
        <v>126</v>
      </c>
      <c r="B170" s="58">
        <v>4</v>
      </c>
      <c r="C170" s="58">
        <f>0</f>
        <v>0</v>
      </c>
      <c r="D170" s="58">
        <v>4</v>
      </c>
      <c r="E170" s="58">
        <f>0</f>
        <v>0</v>
      </c>
      <c r="F170" s="58">
        <f>0</f>
        <v>0</v>
      </c>
      <c r="G170" s="58">
        <f>0</f>
        <v>0</v>
      </c>
      <c r="H170" s="58">
        <v>0</v>
      </c>
      <c r="I170" s="58">
        <v>0</v>
      </c>
      <c r="J170" s="58">
        <v>0</v>
      </c>
      <c r="K170" s="58">
        <f>0</f>
        <v>0</v>
      </c>
      <c r="L170" s="58">
        <f>0</f>
        <v>0</v>
      </c>
      <c r="M170" s="58">
        <f>0</f>
        <v>0</v>
      </c>
      <c r="N170" s="58">
        <f t="shared" si="35"/>
        <v>8</v>
      </c>
    </row>
    <row r="171" spans="1:15" hidden="1" x14ac:dyDescent="0.15">
      <c r="A171" s="56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</row>
    <row r="172" spans="1:15" ht="13" hidden="1" x14ac:dyDescent="0.15">
      <c r="A172" s="56" t="s">
        <v>127</v>
      </c>
      <c r="B172" s="73">
        <f t="shared" ref="B172:M172" si="36">(B158)+(B180)</f>
        <v>0</v>
      </c>
      <c r="C172" s="73">
        <f t="shared" si="36"/>
        <v>0</v>
      </c>
      <c r="D172" s="73">
        <f t="shared" si="36"/>
        <v>1200</v>
      </c>
      <c r="E172" s="73">
        <f t="shared" si="36"/>
        <v>0</v>
      </c>
      <c r="F172" s="73">
        <f t="shared" si="36"/>
        <v>0</v>
      </c>
      <c r="G172" s="73">
        <f t="shared" si="36"/>
        <v>0</v>
      </c>
      <c r="H172" s="73">
        <f t="shared" si="36"/>
        <v>1200</v>
      </c>
      <c r="I172" s="73">
        <f t="shared" si="36"/>
        <v>0</v>
      </c>
      <c r="J172" s="73">
        <f t="shared" si="36"/>
        <v>0</v>
      </c>
      <c r="K172" s="73">
        <f t="shared" si="36"/>
        <v>0</v>
      </c>
      <c r="L172" s="73">
        <f t="shared" si="36"/>
        <v>0</v>
      </c>
      <c r="M172" s="73">
        <f t="shared" si="36"/>
        <v>0</v>
      </c>
      <c r="N172" s="73">
        <f t="shared" si="33"/>
        <v>2400</v>
      </c>
    </row>
    <row r="173" spans="1:15" s="80" customFormat="1" ht="13" x14ac:dyDescent="0.15">
      <c r="A173" s="78" t="s">
        <v>227</v>
      </c>
      <c r="B173" s="81">
        <f>+B165</f>
        <v>13650</v>
      </c>
      <c r="C173" s="81">
        <f t="shared" ref="C173:N173" si="37">+C165</f>
        <v>45500</v>
      </c>
      <c r="D173" s="81">
        <f t="shared" si="37"/>
        <v>28000</v>
      </c>
      <c r="E173" s="81">
        <f t="shared" si="37"/>
        <v>45500</v>
      </c>
      <c r="F173" s="81">
        <f t="shared" si="37"/>
        <v>1000</v>
      </c>
      <c r="G173" s="81">
        <f t="shared" si="37"/>
        <v>28650</v>
      </c>
      <c r="H173" s="81">
        <f t="shared" si="37"/>
        <v>0</v>
      </c>
      <c r="I173" s="81">
        <f t="shared" si="37"/>
        <v>0</v>
      </c>
      <c r="J173" s="81">
        <f t="shared" si="37"/>
        <v>0</v>
      </c>
      <c r="K173" s="81">
        <f t="shared" si="37"/>
        <v>0</v>
      </c>
      <c r="L173" s="81">
        <f t="shared" si="37"/>
        <v>0</v>
      </c>
      <c r="M173" s="81">
        <f t="shared" si="37"/>
        <v>0</v>
      </c>
      <c r="N173" s="81">
        <f t="shared" si="37"/>
        <v>162300</v>
      </c>
    </row>
    <row r="174" spans="1:15" x14ac:dyDescent="0.15">
      <c r="A174" s="56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</row>
    <row r="175" spans="1:15" s="77" customFormat="1" ht="13" x14ac:dyDescent="0.15">
      <c r="A175" s="75" t="s">
        <v>228</v>
      </c>
      <c r="B175" s="97">
        <f>+B155-B173</f>
        <v>-13650</v>
      </c>
      <c r="C175" s="97">
        <f t="shared" ref="C175:N175" si="38">+C155-C173</f>
        <v>454500</v>
      </c>
      <c r="D175" s="97">
        <f t="shared" si="38"/>
        <v>-28000</v>
      </c>
      <c r="E175" s="97">
        <f t="shared" si="38"/>
        <v>-45500</v>
      </c>
      <c r="F175" s="97">
        <f t="shared" si="38"/>
        <v>-1000</v>
      </c>
      <c r="G175" s="97">
        <f t="shared" si="38"/>
        <v>-28650</v>
      </c>
      <c r="H175" s="97">
        <f t="shared" si="38"/>
        <v>0</v>
      </c>
      <c r="I175" s="97">
        <f t="shared" si="38"/>
        <v>0</v>
      </c>
      <c r="J175" s="97">
        <f t="shared" si="38"/>
        <v>0</v>
      </c>
      <c r="K175" s="97">
        <f t="shared" si="38"/>
        <v>0</v>
      </c>
      <c r="L175" s="97">
        <f t="shared" si="38"/>
        <v>0</v>
      </c>
      <c r="M175" s="97">
        <f t="shared" si="38"/>
        <v>0</v>
      </c>
      <c r="N175" s="97">
        <f t="shared" si="38"/>
        <v>337700</v>
      </c>
    </row>
    <row r="176" spans="1:15" x14ac:dyDescent="0.15">
      <c r="A176" s="56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</row>
    <row r="177" spans="1:15" s="77" customFormat="1" ht="13" x14ac:dyDescent="0.15">
      <c r="A177" s="75" t="s">
        <v>229</v>
      </c>
      <c r="B177" s="99">
        <f>+B148+B175</f>
        <v>51922</v>
      </c>
      <c r="C177" s="99">
        <f>+B177+C175</f>
        <v>506422</v>
      </c>
      <c r="D177" s="99">
        <f t="shared" ref="D177:M177" si="39">+C177+D175</f>
        <v>478422</v>
      </c>
      <c r="E177" s="99">
        <f t="shared" si="39"/>
        <v>432922</v>
      </c>
      <c r="F177" s="99">
        <f t="shared" si="39"/>
        <v>431922</v>
      </c>
      <c r="G177" s="99">
        <f t="shared" si="39"/>
        <v>403272</v>
      </c>
      <c r="H177" s="99">
        <f t="shared" si="39"/>
        <v>403272</v>
      </c>
      <c r="I177" s="99">
        <f t="shared" si="39"/>
        <v>403272</v>
      </c>
      <c r="J177" s="99">
        <f t="shared" si="39"/>
        <v>403272</v>
      </c>
      <c r="K177" s="99">
        <f t="shared" si="39"/>
        <v>403272</v>
      </c>
      <c r="L177" s="99">
        <f t="shared" si="39"/>
        <v>403272</v>
      </c>
      <c r="M177" s="99">
        <f t="shared" si="39"/>
        <v>403272</v>
      </c>
      <c r="N177" s="99"/>
    </row>
    <row r="178" spans="1:15" x14ac:dyDescent="0.15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</row>
    <row r="179" spans="1:15" ht="13" x14ac:dyDescent="0.15">
      <c r="A179" s="56" t="s">
        <v>225</v>
      </c>
      <c r="B179" s="58">
        <v>0</v>
      </c>
      <c r="C179" s="58">
        <f>0</f>
        <v>0</v>
      </c>
      <c r="D179" s="58">
        <v>1200</v>
      </c>
      <c r="E179" s="58">
        <v>0</v>
      </c>
      <c r="F179" s="58">
        <f>0</f>
        <v>0</v>
      </c>
      <c r="G179" s="58">
        <f>0</f>
        <v>0</v>
      </c>
      <c r="H179" s="58">
        <v>1200</v>
      </c>
      <c r="I179" s="58">
        <v>0</v>
      </c>
      <c r="J179" s="58">
        <v>0</v>
      </c>
      <c r="K179" s="58">
        <f>0</f>
        <v>0</v>
      </c>
      <c r="L179" s="58">
        <f>0</f>
        <v>0</v>
      </c>
      <c r="M179" s="58">
        <f>0</f>
        <v>0</v>
      </c>
      <c r="N179" s="58">
        <f>(((((((((((B179)+(C179))+(D179))+(E179))+(F179))+(G179))+(H179))+(I179))+(J179))+(K179))+(L179))+(M179)</f>
        <v>2400</v>
      </c>
      <c r="O179" s="53" t="s">
        <v>226</v>
      </c>
    </row>
    <row r="180" spans="1:15" s="80" customFormat="1" ht="13" x14ac:dyDescent="0.15">
      <c r="A180" s="78" t="s">
        <v>224</v>
      </c>
      <c r="B180" s="81">
        <f>+B179</f>
        <v>0</v>
      </c>
      <c r="C180" s="81">
        <f t="shared" ref="C180:N180" si="40">+C179</f>
        <v>0</v>
      </c>
      <c r="D180" s="81">
        <f t="shared" si="40"/>
        <v>1200</v>
      </c>
      <c r="E180" s="81">
        <f t="shared" si="40"/>
        <v>0</v>
      </c>
      <c r="F180" s="81">
        <f t="shared" si="40"/>
        <v>0</v>
      </c>
      <c r="G180" s="81">
        <f t="shared" si="40"/>
        <v>0</v>
      </c>
      <c r="H180" s="81">
        <f t="shared" si="40"/>
        <v>1200</v>
      </c>
      <c r="I180" s="81">
        <f t="shared" si="40"/>
        <v>0</v>
      </c>
      <c r="J180" s="81">
        <f t="shared" si="40"/>
        <v>0</v>
      </c>
      <c r="K180" s="81">
        <f t="shared" si="40"/>
        <v>0</v>
      </c>
      <c r="L180" s="81">
        <f t="shared" si="40"/>
        <v>0</v>
      </c>
      <c r="M180" s="81">
        <f t="shared" si="40"/>
        <v>0</v>
      </c>
      <c r="N180" s="81">
        <f t="shared" si="40"/>
        <v>2400</v>
      </c>
    </row>
    <row r="182" spans="1:15" s="77" customFormat="1" ht="13" thickBot="1" x14ac:dyDescent="0.2">
      <c r="A182" s="100" t="s">
        <v>230</v>
      </c>
      <c r="B182" s="101">
        <f>+B177+B146-B180</f>
        <v>183414.34092307693</v>
      </c>
      <c r="C182" s="101">
        <f t="shared" ref="C182:M182" si="41">+C177+C146-C180</f>
        <v>698996.11523076927</v>
      </c>
      <c r="D182" s="101">
        <f t="shared" si="41"/>
        <v>739324.84349999996</v>
      </c>
      <c r="E182" s="101">
        <f t="shared" si="41"/>
        <v>692611.00234615384</v>
      </c>
      <c r="F182" s="101">
        <f t="shared" si="41"/>
        <v>752730.41119230771</v>
      </c>
      <c r="G182" s="101">
        <f t="shared" si="41"/>
        <v>710511.20003846148</v>
      </c>
      <c r="H182" s="101">
        <f t="shared" si="41"/>
        <v>681881.95580769237</v>
      </c>
      <c r="I182" s="101">
        <f t="shared" si="41"/>
        <v>658203.1615769231</v>
      </c>
      <c r="J182" s="101">
        <f t="shared" si="41"/>
        <v>666030.13523076929</v>
      </c>
      <c r="K182" s="101">
        <f t="shared" si="41"/>
        <v>662744.98100000003</v>
      </c>
      <c r="L182" s="101">
        <f t="shared" si="41"/>
        <v>667204.61676923081</v>
      </c>
      <c r="M182" s="101">
        <f t="shared" si="41"/>
        <v>643139.25253846159</v>
      </c>
      <c r="N182" s="102"/>
    </row>
    <row r="183" spans="1:15" ht="13" thickTop="1" x14ac:dyDescent="0.15">
      <c r="A183" s="123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</row>
  </sheetData>
  <mergeCells count="4">
    <mergeCell ref="A183:N183"/>
    <mergeCell ref="A1:N1"/>
    <mergeCell ref="A2:N2"/>
    <mergeCell ref="A3:N3"/>
  </mergeCells>
  <phoneticPr fontId="1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0DDF-6F3F-4A23-BE26-74DEC3D3AD22}">
  <sheetPr>
    <pageSetUpPr fitToPage="1"/>
  </sheetPr>
  <dimension ref="A1:AC299"/>
  <sheetViews>
    <sheetView showGridLines="0" zoomScale="110" zoomScaleNormal="110" zoomScaleSheetLayoutView="70" workbookViewId="0">
      <selection activeCell="I48" sqref="I48"/>
    </sheetView>
  </sheetViews>
  <sheetFormatPr baseColWidth="10" defaultColWidth="15.5" defaultRowHeight="15" x14ac:dyDescent="0.2"/>
  <cols>
    <col min="1" max="1" width="34.5" style="3" customWidth="1"/>
    <col min="2" max="2" width="15.5" style="2" customWidth="1"/>
    <col min="3" max="3" width="9.33203125" style="3" hidden="1" customWidth="1"/>
    <col min="4" max="15" width="9.5" style="2" customWidth="1"/>
    <col min="16" max="16" width="2.5" style="4" customWidth="1"/>
    <col min="17" max="17" width="12.33203125" style="3" bestFit="1" customWidth="1"/>
    <col min="18" max="19" width="15.5" style="3"/>
    <col min="20" max="20" width="44.5" style="3" hidden="1" customWidth="1"/>
    <col min="21" max="27" width="15.5" style="3" hidden="1" customWidth="1"/>
    <col min="28" max="28" width="15.5" style="3" customWidth="1"/>
    <col min="29" max="16384" width="15.5" style="3"/>
  </cols>
  <sheetData>
    <row r="1" spans="1:29" ht="19" x14ac:dyDescent="0.25">
      <c r="A1" s="1" t="s">
        <v>128</v>
      </c>
    </row>
    <row r="2" spans="1:29" ht="19" x14ac:dyDescent="0.25">
      <c r="A2" s="1" t="s">
        <v>134</v>
      </c>
    </row>
    <row r="3" spans="1:29" ht="19" x14ac:dyDescent="0.25">
      <c r="A3" s="5" t="s">
        <v>173</v>
      </c>
      <c r="D3" s="127" t="s">
        <v>174</v>
      </c>
      <c r="E3" s="128"/>
      <c r="F3" s="128"/>
      <c r="G3" s="128"/>
      <c r="H3" s="128"/>
      <c r="I3" s="129"/>
      <c r="J3" s="127" t="s">
        <v>175</v>
      </c>
      <c r="K3" s="128"/>
      <c r="L3" s="128"/>
      <c r="M3" s="128"/>
      <c r="N3" s="128"/>
      <c r="O3" s="129"/>
      <c r="Q3" s="6" t="s">
        <v>135</v>
      </c>
    </row>
    <row r="4" spans="1:29" x14ac:dyDescent="0.2">
      <c r="B4" s="7"/>
      <c r="D4" s="8" t="s">
        <v>136</v>
      </c>
      <c r="E4" s="9" t="s">
        <v>137</v>
      </c>
      <c r="F4" s="9" t="s">
        <v>138</v>
      </c>
      <c r="G4" s="9" t="s">
        <v>139</v>
      </c>
      <c r="H4" s="9" t="s">
        <v>140</v>
      </c>
      <c r="I4" s="10" t="s">
        <v>141</v>
      </c>
      <c r="J4" s="8" t="s">
        <v>142</v>
      </c>
      <c r="K4" s="9" t="s">
        <v>143</v>
      </c>
      <c r="L4" s="9" t="s">
        <v>144</v>
      </c>
      <c r="M4" s="9" t="s">
        <v>145</v>
      </c>
      <c r="N4" s="9" t="s">
        <v>146</v>
      </c>
      <c r="O4" s="10" t="s">
        <v>147</v>
      </c>
      <c r="Q4" s="11" t="s">
        <v>148</v>
      </c>
    </row>
    <row r="5" spans="1:29" x14ac:dyDescent="0.2">
      <c r="D5" s="2">
        <v>2</v>
      </c>
      <c r="E5" s="2">
        <v>2</v>
      </c>
      <c r="F5" s="2">
        <v>3</v>
      </c>
      <c r="G5" s="2">
        <v>2</v>
      </c>
      <c r="H5" s="2">
        <v>2</v>
      </c>
      <c r="I5" s="2">
        <v>2</v>
      </c>
      <c r="J5" s="2">
        <v>2</v>
      </c>
      <c r="K5" s="2">
        <v>2</v>
      </c>
      <c r="L5" s="2">
        <v>3</v>
      </c>
      <c r="M5" s="2">
        <v>2</v>
      </c>
      <c r="N5" s="2">
        <v>2</v>
      </c>
      <c r="O5" s="2">
        <v>2</v>
      </c>
    </row>
    <row r="6" spans="1:29" ht="17" x14ac:dyDescent="0.3">
      <c r="B6" s="12" t="s">
        <v>149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S6" s="4"/>
      <c r="T6" s="4"/>
    </row>
    <row r="7" spans="1:29" x14ac:dyDescent="0.2">
      <c r="A7" s="13" t="s">
        <v>150</v>
      </c>
      <c r="B7" s="2">
        <f>(113000*0.06)+113000</f>
        <v>119780</v>
      </c>
      <c r="D7" s="2">
        <f>$B7/26*D$5</f>
        <v>9213.8461538461543</v>
      </c>
      <c r="E7" s="2">
        <f t="shared" ref="E7:O9" si="0">$B7/26*E$5</f>
        <v>9213.8461538461543</v>
      </c>
      <c r="F7" s="2">
        <f t="shared" si="0"/>
        <v>13820.76923076923</v>
      </c>
      <c r="G7" s="2">
        <f t="shared" si="0"/>
        <v>9213.8461538461543</v>
      </c>
      <c r="H7" s="2">
        <f t="shared" si="0"/>
        <v>9213.8461538461543</v>
      </c>
      <c r="I7" s="2">
        <f t="shared" si="0"/>
        <v>9213.8461538461543</v>
      </c>
      <c r="J7" s="2">
        <f t="shared" si="0"/>
        <v>9213.8461538461543</v>
      </c>
      <c r="K7" s="2">
        <f t="shared" si="0"/>
        <v>9213.8461538461543</v>
      </c>
      <c r="L7" s="2">
        <f t="shared" si="0"/>
        <v>13820.76923076923</v>
      </c>
      <c r="M7" s="2">
        <f t="shared" si="0"/>
        <v>9213.8461538461543</v>
      </c>
      <c r="N7" s="2">
        <f t="shared" si="0"/>
        <v>9213.8461538461543</v>
      </c>
      <c r="O7" s="2">
        <f t="shared" si="0"/>
        <v>9213.8461538461543</v>
      </c>
      <c r="Q7" s="3">
        <f>SUM(D7:P7)</f>
        <v>119780.00000000001</v>
      </c>
      <c r="R7" s="4" t="s">
        <v>267</v>
      </c>
      <c r="S7" s="4"/>
      <c r="T7" s="4"/>
    </row>
    <row r="8" spans="1:29" x14ac:dyDescent="0.2">
      <c r="A8" s="13" t="s">
        <v>151</v>
      </c>
      <c r="B8" s="2">
        <f>(56500*0.06)+56500</f>
        <v>59890</v>
      </c>
      <c r="D8" s="2">
        <f>$B8/26*D$5*1</f>
        <v>4606.9230769230771</v>
      </c>
      <c r="E8" s="2">
        <f t="shared" ref="E8:O8" si="1">$B8/26*E$5*1</f>
        <v>4606.9230769230771</v>
      </c>
      <c r="F8" s="2">
        <f t="shared" si="1"/>
        <v>6910.3846153846152</v>
      </c>
      <c r="G8" s="2">
        <f>$B8/26*G$5*1</f>
        <v>4606.9230769230771</v>
      </c>
      <c r="H8" s="2">
        <f t="shared" si="1"/>
        <v>4606.9230769230771</v>
      </c>
      <c r="I8" s="2">
        <f t="shared" si="1"/>
        <v>4606.9230769230771</v>
      </c>
      <c r="J8" s="2">
        <f t="shared" si="1"/>
        <v>4606.9230769230771</v>
      </c>
      <c r="K8" s="2">
        <f t="shared" si="1"/>
        <v>4606.9230769230771</v>
      </c>
      <c r="L8" s="2">
        <f t="shared" si="1"/>
        <v>6910.3846153846152</v>
      </c>
      <c r="M8" s="2">
        <f t="shared" si="1"/>
        <v>4606.9230769230771</v>
      </c>
      <c r="N8" s="2">
        <f t="shared" si="1"/>
        <v>4606.9230769230771</v>
      </c>
      <c r="O8" s="2">
        <f t="shared" si="1"/>
        <v>4606.9230769230771</v>
      </c>
      <c r="Q8" s="3">
        <f>SUM(D8:P8)</f>
        <v>59890.000000000007</v>
      </c>
      <c r="R8" s="4" t="s">
        <v>268</v>
      </c>
      <c r="S8" s="4"/>
      <c r="T8" s="4"/>
      <c r="U8" s="14"/>
      <c r="V8" s="15"/>
    </row>
    <row r="9" spans="1:29" x14ac:dyDescent="0.2">
      <c r="A9" s="13" t="s">
        <v>152</v>
      </c>
      <c r="B9" s="2">
        <v>60000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f t="shared" si="0"/>
        <v>4615.3846153846152</v>
      </c>
      <c r="K9" s="2">
        <f t="shared" si="0"/>
        <v>4615.3846153846152</v>
      </c>
      <c r="L9" s="2">
        <f t="shared" si="0"/>
        <v>6923.0769230769229</v>
      </c>
      <c r="M9" s="2">
        <f t="shared" si="0"/>
        <v>4615.3846153846152</v>
      </c>
      <c r="N9" s="2">
        <f t="shared" si="0"/>
        <v>4615.3846153846152</v>
      </c>
      <c r="O9" s="2">
        <f t="shared" si="0"/>
        <v>4615.3846153846152</v>
      </c>
      <c r="Q9" s="3">
        <f>SUM(D9:P9)</f>
        <v>30000</v>
      </c>
      <c r="R9" s="3" t="s">
        <v>176</v>
      </c>
      <c r="S9" s="4" t="s">
        <v>181</v>
      </c>
      <c r="T9" s="4"/>
    </row>
    <row r="10" spans="1:29" x14ac:dyDescent="0.2">
      <c r="S10" s="4"/>
      <c r="W10" s="3">
        <f>92554</f>
        <v>92554</v>
      </c>
      <c r="X10" s="15">
        <f>W10/W12</f>
        <v>0.71899446114645726</v>
      </c>
    </row>
    <row r="11" spans="1:29" s="16" customFormat="1" ht="14" thickBot="1" x14ac:dyDescent="0.2">
      <c r="A11" s="16" t="s">
        <v>153</v>
      </c>
      <c r="B11" s="17"/>
      <c r="D11" s="18">
        <f t="shared" ref="D11:O11" si="2">SUM(D7:D10)</f>
        <v>13820.76923076923</v>
      </c>
      <c r="E11" s="18">
        <f t="shared" si="2"/>
        <v>13820.76923076923</v>
      </c>
      <c r="F11" s="18">
        <f t="shared" si="2"/>
        <v>20731.153846153844</v>
      </c>
      <c r="G11" s="18">
        <f t="shared" si="2"/>
        <v>13820.76923076923</v>
      </c>
      <c r="H11" s="18">
        <f t="shared" si="2"/>
        <v>13820.76923076923</v>
      </c>
      <c r="I11" s="18">
        <f t="shared" si="2"/>
        <v>13820.76923076923</v>
      </c>
      <c r="J11" s="18">
        <f t="shared" si="2"/>
        <v>18436.153846153844</v>
      </c>
      <c r="K11" s="18">
        <f t="shared" si="2"/>
        <v>18436.153846153844</v>
      </c>
      <c r="L11" s="18">
        <f t="shared" si="2"/>
        <v>27654.230769230766</v>
      </c>
      <c r="M11" s="18">
        <f t="shared" si="2"/>
        <v>18436.153846153844</v>
      </c>
      <c r="N11" s="18">
        <f t="shared" si="2"/>
        <v>18436.153846153844</v>
      </c>
      <c r="O11" s="18">
        <f t="shared" si="2"/>
        <v>18436.153846153844</v>
      </c>
      <c r="Q11" s="19">
        <f>SUM(Q7:Q10)</f>
        <v>209670.00000000003</v>
      </c>
      <c r="W11" s="16">
        <v>36173</v>
      </c>
      <c r="X11" s="20">
        <f>W11/W12</f>
        <v>0.28100553885354279</v>
      </c>
    </row>
    <row r="12" spans="1:29" x14ac:dyDescent="0.2">
      <c r="W12" s="3">
        <f>W10+W11</f>
        <v>128727</v>
      </c>
    </row>
    <row r="13" spans="1:29" s="4" customFormat="1" x14ac:dyDescent="0.2">
      <c r="B13" s="21" t="s">
        <v>154</v>
      </c>
      <c r="C13" s="130" t="s">
        <v>178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29" s="4" customFormat="1" ht="17" x14ac:dyDescent="0.3">
      <c r="B14" s="23" t="s">
        <v>155</v>
      </c>
      <c r="C14" s="13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T14" s="16" t="s">
        <v>156</v>
      </c>
      <c r="V14" s="22" t="s">
        <v>157</v>
      </c>
      <c r="W14" s="22" t="s">
        <v>158</v>
      </c>
      <c r="X14" s="24" t="s">
        <v>159</v>
      </c>
      <c r="AA14" s="25"/>
      <c r="AB14" s="25"/>
      <c r="AC14" s="25"/>
    </row>
    <row r="15" spans="1:29" s="4" customFormat="1" x14ac:dyDescent="0.2">
      <c r="A15" s="16" t="s">
        <v>150</v>
      </c>
      <c r="B15" s="22">
        <v>1260.72</v>
      </c>
      <c r="C15" s="22">
        <f>(B15*0.08)+B15</f>
        <v>1361.5776000000001</v>
      </c>
      <c r="D15" s="22">
        <f>$B15</f>
        <v>1260.72</v>
      </c>
      <c r="E15" s="22">
        <f t="shared" ref="E15:I17" si="3">$B15</f>
        <v>1260.72</v>
      </c>
      <c r="F15" s="22">
        <f>$C15</f>
        <v>1361.5776000000001</v>
      </c>
      <c r="G15" s="22">
        <f t="shared" ref="G15:O17" si="4">$C15</f>
        <v>1361.5776000000001</v>
      </c>
      <c r="H15" s="22">
        <f t="shared" si="4"/>
        <v>1361.5776000000001</v>
      </c>
      <c r="I15" s="22">
        <f t="shared" si="4"/>
        <v>1361.5776000000001</v>
      </c>
      <c r="J15" s="22">
        <f t="shared" si="4"/>
        <v>1361.5776000000001</v>
      </c>
      <c r="K15" s="22">
        <f t="shared" si="4"/>
        <v>1361.5776000000001</v>
      </c>
      <c r="L15" s="22">
        <f t="shared" si="4"/>
        <v>1361.5776000000001</v>
      </c>
      <c r="M15" s="22">
        <f t="shared" si="4"/>
        <v>1361.5776000000001</v>
      </c>
      <c r="N15" s="22">
        <f t="shared" si="4"/>
        <v>1361.5776000000001</v>
      </c>
      <c r="O15" s="22">
        <f t="shared" si="4"/>
        <v>1361.5776000000001</v>
      </c>
      <c r="Q15" s="4">
        <f>SUM(D15:P15)</f>
        <v>16137.216000000004</v>
      </c>
      <c r="R15" s="4" t="s">
        <v>185</v>
      </c>
      <c r="S15" s="26"/>
      <c r="T15" s="4" t="s">
        <v>160</v>
      </c>
      <c r="V15" s="26">
        <v>182.4</v>
      </c>
      <c r="W15" s="26">
        <f>748.2*X10</f>
        <v>537.95165582977938</v>
      </c>
      <c r="X15" s="27">
        <f>1229.4*X10</f>
        <v>883.93179053345466</v>
      </c>
      <c r="Y15" s="4">
        <f>V15+W15+X15</f>
        <v>1604.2834463632339</v>
      </c>
      <c r="Z15" s="26">
        <f>Y15/12</f>
        <v>133.69028719693617</v>
      </c>
    </row>
    <row r="16" spans="1:29" s="4" customFormat="1" ht="17" x14ac:dyDescent="0.3">
      <c r="A16" s="13" t="s">
        <v>151</v>
      </c>
      <c r="B16" s="22">
        <v>490.28</v>
      </c>
      <c r="C16" s="22">
        <f>(B16*0.08)+B16</f>
        <v>529.50239999999997</v>
      </c>
      <c r="D16" s="22">
        <f>$B16</f>
        <v>490.28</v>
      </c>
      <c r="E16" s="22">
        <f t="shared" si="3"/>
        <v>490.28</v>
      </c>
      <c r="F16" s="22">
        <f>$C16</f>
        <v>529.50239999999997</v>
      </c>
      <c r="G16" s="22">
        <f t="shared" si="4"/>
        <v>529.50239999999997</v>
      </c>
      <c r="H16" s="22">
        <f t="shared" si="4"/>
        <v>529.50239999999997</v>
      </c>
      <c r="I16" s="22">
        <f t="shared" si="4"/>
        <v>529.50239999999997</v>
      </c>
      <c r="J16" s="22">
        <f t="shared" si="4"/>
        <v>529.50239999999997</v>
      </c>
      <c r="K16" s="22">
        <f t="shared" si="4"/>
        <v>529.50239999999997</v>
      </c>
      <c r="L16" s="22">
        <f t="shared" si="4"/>
        <v>529.50239999999997</v>
      </c>
      <c r="M16" s="22">
        <f t="shared" si="4"/>
        <v>529.50239999999997</v>
      </c>
      <c r="N16" s="22">
        <f t="shared" si="4"/>
        <v>529.50239999999997</v>
      </c>
      <c r="O16" s="22">
        <f t="shared" si="4"/>
        <v>529.50239999999997</v>
      </c>
      <c r="Q16" s="4">
        <f>SUM(D16:P16)</f>
        <v>6275.5840000000007</v>
      </c>
      <c r="R16" s="4" t="s">
        <v>185</v>
      </c>
      <c r="S16" s="26"/>
      <c r="T16" s="4" t="s">
        <v>161</v>
      </c>
      <c r="V16" s="26">
        <v>9.6</v>
      </c>
      <c r="W16" s="26">
        <f>748.2*X11</f>
        <v>210.24834417022072</v>
      </c>
      <c r="X16" s="27">
        <f>1229.4*X11</f>
        <v>345.46820946654555</v>
      </c>
      <c r="Y16" s="28">
        <f>V16+W16+X16</f>
        <v>565.31655363676623</v>
      </c>
      <c r="Z16" s="26">
        <f>Y16/12</f>
        <v>47.10971280306385</v>
      </c>
      <c r="AA16" s="29"/>
      <c r="AB16" s="29"/>
      <c r="AC16" s="29"/>
    </row>
    <row r="17" spans="1:29" s="4" customFormat="1" x14ac:dyDescent="0.2">
      <c r="A17" s="16" t="s">
        <v>152</v>
      </c>
      <c r="B17" s="22">
        <v>0</v>
      </c>
      <c r="C17" s="4">
        <f>703*0.8</f>
        <v>562.4</v>
      </c>
      <c r="D17" s="22">
        <f>$B17</f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0</v>
      </c>
      <c r="J17" s="22">
        <f t="shared" si="4"/>
        <v>562.4</v>
      </c>
      <c r="K17" s="22">
        <f t="shared" si="4"/>
        <v>562.4</v>
      </c>
      <c r="L17" s="22">
        <f t="shared" si="4"/>
        <v>562.4</v>
      </c>
      <c r="M17" s="22">
        <f t="shared" si="4"/>
        <v>562.4</v>
      </c>
      <c r="N17" s="22">
        <f t="shared" si="4"/>
        <v>562.4</v>
      </c>
      <c r="O17" s="22">
        <f t="shared" si="4"/>
        <v>562.4</v>
      </c>
      <c r="Q17" s="4">
        <f>SUM(D17:P17)</f>
        <v>3374.4</v>
      </c>
      <c r="R17" s="4" t="s">
        <v>185</v>
      </c>
      <c r="Y17" s="26">
        <f>SUM(Y15:Y16)</f>
        <v>2169.6000000000004</v>
      </c>
      <c r="Z17" s="26"/>
    </row>
    <row r="18" spans="1:29" s="4" customFormat="1" x14ac:dyDescent="0.2">
      <c r="B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Y18" s="4">
        <f>Y17/12</f>
        <v>180.80000000000004</v>
      </c>
    </row>
    <row r="19" spans="1:29" s="16" customFormat="1" ht="14" thickBot="1" x14ac:dyDescent="0.2">
      <c r="A19" s="16" t="s">
        <v>162</v>
      </c>
      <c r="B19" s="17"/>
      <c r="D19" s="18">
        <f t="shared" ref="D19:O19" si="5">SUM(D15:D18)</f>
        <v>1751</v>
      </c>
      <c r="E19" s="18">
        <f t="shared" si="5"/>
        <v>1751</v>
      </c>
      <c r="F19" s="18">
        <f t="shared" si="5"/>
        <v>1891.08</v>
      </c>
      <c r="G19" s="18">
        <f t="shared" si="5"/>
        <v>1891.08</v>
      </c>
      <c r="H19" s="18">
        <f t="shared" si="5"/>
        <v>1891.08</v>
      </c>
      <c r="I19" s="18">
        <f t="shared" si="5"/>
        <v>1891.08</v>
      </c>
      <c r="J19" s="18">
        <f t="shared" si="5"/>
        <v>2453.48</v>
      </c>
      <c r="K19" s="18">
        <f t="shared" si="5"/>
        <v>2453.48</v>
      </c>
      <c r="L19" s="18">
        <f t="shared" si="5"/>
        <v>2453.48</v>
      </c>
      <c r="M19" s="18">
        <f t="shared" si="5"/>
        <v>2453.48</v>
      </c>
      <c r="N19" s="18">
        <f t="shared" si="5"/>
        <v>2453.48</v>
      </c>
      <c r="O19" s="18">
        <f t="shared" si="5"/>
        <v>2453.48</v>
      </c>
      <c r="Q19" s="19">
        <f>SUM(Q15:Q18)</f>
        <v>25787.200000000004</v>
      </c>
    </row>
    <row r="20" spans="1:29" s="16" customFormat="1" ht="13" x14ac:dyDescent="0.15">
      <c r="B20" s="17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Q20" s="45"/>
    </row>
    <row r="21" spans="1:29" s="16" customFormat="1" ht="14" thickBot="1" x14ac:dyDescent="0.2">
      <c r="B21" s="46" t="s">
        <v>187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Q21" s="45"/>
    </row>
    <row r="22" spans="1:29" s="4" customFormat="1" x14ac:dyDescent="0.2">
      <c r="A22" s="16" t="s">
        <v>150</v>
      </c>
      <c r="B22" s="22">
        <v>0</v>
      </c>
      <c r="C22" s="22"/>
      <c r="D22" s="22">
        <f t="shared" ref="D22:I22" si="6">+D7*0.03</f>
        <v>276.4153846153846</v>
      </c>
      <c r="E22" s="22">
        <f t="shared" si="6"/>
        <v>276.4153846153846</v>
      </c>
      <c r="F22" s="22">
        <f t="shared" si="6"/>
        <v>414.62307692307689</v>
      </c>
      <c r="G22" s="22">
        <f t="shared" si="6"/>
        <v>276.4153846153846</v>
      </c>
      <c r="H22" s="22">
        <f t="shared" si="6"/>
        <v>276.4153846153846</v>
      </c>
      <c r="I22" s="22">
        <f t="shared" si="6"/>
        <v>276.4153846153846</v>
      </c>
      <c r="J22" s="22">
        <f t="shared" ref="J22:O22" si="7">+J7*0.03</f>
        <v>276.4153846153846</v>
      </c>
      <c r="K22" s="22">
        <f t="shared" si="7"/>
        <v>276.4153846153846</v>
      </c>
      <c r="L22" s="22">
        <f t="shared" si="7"/>
        <v>414.62307692307689</v>
      </c>
      <c r="M22" s="22">
        <f t="shared" si="7"/>
        <v>276.4153846153846</v>
      </c>
      <c r="N22" s="22">
        <f t="shared" si="7"/>
        <v>276.4153846153846</v>
      </c>
      <c r="O22" s="22">
        <f t="shared" si="7"/>
        <v>276.4153846153846</v>
      </c>
      <c r="Q22" s="4">
        <f>SUM(D22:P22)</f>
        <v>3593.3999999999992</v>
      </c>
      <c r="R22" s="4" t="s">
        <v>188</v>
      </c>
      <c r="S22" s="26"/>
      <c r="T22" s="4" t="s">
        <v>160</v>
      </c>
      <c r="V22" s="26">
        <v>182.4</v>
      </c>
      <c r="W22" s="26">
        <f>748.2*X16</f>
        <v>258479.31432286938</v>
      </c>
      <c r="X22" s="27">
        <f>1229.4*X16</f>
        <v>424718.61671817111</v>
      </c>
      <c r="Y22" s="4">
        <f>V22+W22+X22</f>
        <v>683380.33104104048</v>
      </c>
      <c r="Z22" s="26">
        <f>Y22/12</f>
        <v>56948.360920086707</v>
      </c>
    </row>
    <row r="23" spans="1:29" s="4" customFormat="1" ht="17" x14ac:dyDescent="0.3">
      <c r="A23" s="13" t="s">
        <v>151</v>
      </c>
      <c r="B23" s="22">
        <v>0</v>
      </c>
      <c r="C23" s="22"/>
      <c r="D23" s="22">
        <f t="shared" ref="D23:I23" si="8">+D8*0.03</f>
        <v>138.2076923076923</v>
      </c>
      <c r="E23" s="22">
        <f t="shared" si="8"/>
        <v>138.2076923076923</v>
      </c>
      <c r="F23" s="22">
        <f t="shared" si="8"/>
        <v>207.31153846153845</v>
      </c>
      <c r="G23" s="22">
        <f t="shared" si="8"/>
        <v>138.2076923076923</v>
      </c>
      <c r="H23" s="22">
        <f t="shared" si="8"/>
        <v>138.2076923076923</v>
      </c>
      <c r="I23" s="22">
        <f t="shared" si="8"/>
        <v>138.2076923076923</v>
      </c>
      <c r="J23" s="22">
        <f t="shared" ref="J23:O23" si="9">+J8*0.03</f>
        <v>138.2076923076923</v>
      </c>
      <c r="K23" s="22">
        <f t="shared" si="9"/>
        <v>138.2076923076923</v>
      </c>
      <c r="L23" s="22">
        <f t="shared" si="9"/>
        <v>207.31153846153845</v>
      </c>
      <c r="M23" s="22">
        <f t="shared" si="9"/>
        <v>138.2076923076923</v>
      </c>
      <c r="N23" s="22">
        <f t="shared" si="9"/>
        <v>138.2076923076923</v>
      </c>
      <c r="O23" s="22">
        <f t="shared" si="9"/>
        <v>138.2076923076923</v>
      </c>
      <c r="Q23" s="4">
        <f>SUM(D23:P23)</f>
        <v>1796.6999999999996</v>
      </c>
      <c r="R23" s="4" t="s">
        <v>188</v>
      </c>
      <c r="S23" s="26"/>
      <c r="T23" s="4" t="s">
        <v>161</v>
      </c>
      <c r="V23" s="26">
        <v>9.6</v>
      </c>
      <c r="W23" s="26">
        <f>748.2*X17</f>
        <v>0</v>
      </c>
      <c r="X23" s="27">
        <f>1229.4*X17</f>
        <v>0</v>
      </c>
      <c r="Y23" s="28">
        <f>V23+W23+X23</f>
        <v>9.6</v>
      </c>
      <c r="Z23" s="26">
        <f>Y23/12</f>
        <v>0.79999999999999993</v>
      </c>
      <c r="AA23" s="29"/>
      <c r="AB23" s="29"/>
      <c r="AC23" s="29"/>
    </row>
    <row r="24" spans="1:29" s="4" customFormat="1" x14ac:dyDescent="0.2">
      <c r="A24" s="16" t="s">
        <v>152</v>
      </c>
      <c r="B24" s="22">
        <v>0</v>
      </c>
      <c r="D24" s="22">
        <f t="shared" ref="D24:I24" si="10">+D9*0.03</f>
        <v>0</v>
      </c>
      <c r="E24" s="22">
        <f t="shared" si="10"/>
        <v>0</v>
      </c>
      <c r="F24" s="22">
        <f t="shared" si="10"/>
        <v>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22">
        <f t="shared" ref="J24:O24" si="11">+J9*0.03</f>
        <v>138.46153846153845</v>
      </c>
      <c r="K24" s="22">
        <f t="shared" si="11"/>
        <v>138.46153846153845</v>
      </c>
      <c r="L24" s="22">
        <f t="shared" si="11"/>
        <v>207.69230769230768</v>
      </c>
      <c r="M24" s="22">
        <f t="shared" si="11"/>
        <v>138.46153846153845</v>
      </c>
      <c r="N24" s="22">
        <f t="shared" si="11"/>
        <v>138.46153846153845</v>
      </c>
      <c r="O24" s="22">
        <f t="shared" si="11"/>
        <v>138.46153846153845</v>
      </c>
      <c r="Q24" s="4">
        <f>SUM(D24:P24)</f>
        <v>900</v>
      </c>
      <c r="R24" s="4" t="s">
        <v>188</v>
      </c>
      <c r="Y24" s="26">
        <f>SUM(Y22:Y23)</f>
        <v>683389.93104104046</v>
      </c>
      <c r="Z24" s="26"/>
    </row>
    <row r="25" spans="1:29" s="4" customFormat="1" x14ac:dyDescent="0.2">
      <c r="B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Y25" s="4">
        <f>Y24/12</f>
        <v>56949.160920086702</v>
      </c>
    </row>
    <row r="26" spans="1:29" s="16" customFormat="1" ht="14" thickBot="1" x14ac:dyDescent="0.2">
      <c r="A26" s="16" t="s">
        <v>189</v>
      </c>
      <c r="B26" s="17"/>
      <c r="D26" s="18">
        <f t="shared" ref="D26:O26" si="12">SUM(D22:D25)</f>
        <v>414.62307692307689</v>
      </c>
      <c r="E26" s="18">
        <f t="shared" si="12"/>
        <v>414.62307692307689</v>
      </c>
      <c r="F26" s="18">
        <f t="shared" si="12"/>
        <v>621.93461538461531</v>
      </c>
      <c r="G26" s="18">
        <f t="shared" si="12"/>
        <v>414.62307692307689</v>
      </c>
      <c r="H26" s="18">
        <f t="shared" si="12"/>
        <v>414.62307692307689</v>
      </c>
      <c r="I26" s="18">
        <f t="shared" si="12"/>
        <v>414.62307692307689</v>
      </c>
      <c r="J26" s="18">
        <f t="shared" si="12"/>
        <v>553.08461538461529</v>
      </c>
      <c r="K26" s="18">
        <f t="shared" si="12"/>
        <v>553.08461538461529</v>
      </c>
      <c r="L26" s="18">
        <f t="shared" si="12"/>
        <v>829.62692307692305</v>
      </c>
      <c r="M26" s="18">
        <f t="shared" si="12"/>
        <v>553.08461538461529</v>
      </c>
      <c r="N26" s="18">
        <f t="shared" si="12"/>
        <v>553.08461538461529</v>
      </c>
      <c r="O26" s="18">
        <f t="shared" si="12"/>
        <v>553.08461538461529</v>
      </c>
      <c r="Q26" s="19">
        <f>SUM(Q22:Q25)</f>
        <v>6290.0999999999985</v>
      </c>
    </row>
    <row r="27" spans="1:29" s="16" customFormat="1" ht="13" x14ac:dyDescent="0.15">
      <c r="B27" s="17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Q27" s="45"/>
    </row>
    <row r="28" spans="1:29" x14ac:dyDescent="0.2">
      <c r="A28" s="13" t="s">
        <v>150</v>
      </c>
      <c r="B28" s="7">
        <v>7.6499999999999999E-2</v>
      </c>
      <c r="D28" s="2">
        <f>D7*$B28</f>
        <v>704.85923076923075</v>
      </c>
      <c r="E28" s="2">
        <f t="shared" ref="E28:O28" si="13">E7*$B28</f>
        <v>704.85923076923075</v>
      </c>
      <c r="F28" s="2">
        <f t="shared" si="13"/>
        <v>1057.2888461538462</v>
      </c>
      <c r="G28" s="2">
        <f t="shared" si="13"/>
        <v>704.85923076923075</v>
      </c>
      <c r="H28" s="2">
        <f t="shared" si="13"/>
        <v>704.85923076923075</v>
      </c>
      <c r="I28" s="2">
        <f t="shared" si="13"/>
        <v>704.85923076923075</v>
      </c>
      <c r="J28" s="2">
        <f t="shared" si="13"/>
        <v>704.85923076923075</v>
      </c>
      <c r="K28" s="2">
        <f t="shared" si="13"/>
        <v>704.85923076923075</v>
      </c>
      <c r="L28" s="2">
        <f t="shared" si="13"/>
        <v>1057.2888461538462</v>
      </c>
      <c r="M28" s="2">
        <f t="shared" si="13"/>
        <v>704.85923076923075</v>
      </c>
      <c r="N28" s="2">
        <f t="shared" si="13"/>
        <v>704.85923076923075</v>
      </c>
      <c r="O28" s="2">
        <f t="shared" si="13"/>
        <v>704.85923076923075</v>
      </c>
      <c r="Q28" s="3">
        <f>SUM(D28:P28)</f>
        <v>9163.17</v>
      </c>
      <c r="V28" s="4"/>
    </row>
    <row r="29" spans="1:29" x14ac:dyDescent="0.2">
      <c r="A29" s="13" t="s">
        <v>151</v>
      </c>
      <c r="B29" s="7">
        <v>7.6499999999999999E-2</v>
      </c>
      <c r="D29" s="2">
        <f>D8*$B29</f>
        <v>352.42961538461537</v>
      </c>
      <c r="E29" s="2">
        <f t="shared" ref="E29:O29" si="14">E8*$B29</f>
        <v>352.42961538461537</v>
      </c>
      <c r="F29" s="2">
        <f t="shared" si="14"/>
        <v>528.64442307692309</v>
      </c>
      <c r="G29" s="2">
        <f t="shared" si="14"/>
        <v>352.42961538461537</v>
      </c>
      <c r="H29" s="2">
        <f t="shared" si="14"/>
        <v>352.42961538461537</v>
      </c>
      <c r="I29" s="2">
        <f t="shared" si="14"/>
        <v>352.42961538461537</v>
      </c>
      <c r="J29" s="2">
        <f t="shared" si="14"/>
        <v>352.42961538461537</v>
      </c>
      <c r="K29" s="2">
        <f t="shared" si="14"/>
        <v>352.42961538461537</v>
      </c>
      <c r="L29" s="2">
        <f t="shared" si="14"/>
        <v>528.64442307692309</v>
      </c>
      <c r="M29" s="2">
        <f t="shared" si="14"/>
        <v>352.42961538461537</v>
      </c>
      <c r="N29" s="2">
        <f t="shared" si="14"/>
        <v>352.42961538461537</v>
      </c>
      <c r="O29" s="2">
        <f t="shared" si="14"/>
        <v>352.42961538461537</v>
      </c>
      <c r="Q29" s="3">
        <f>SUM(D29:P29)</f>
        <v>4581.585</v>
      </c>
      <c r="T29" s="2" t="s">
        <v>163</v>
      </c>
      <c r="U29" s="14">
        <v>1126.93</v>
      </c>
      <c r="V29" s="15">
        <f>U29/U31</f>
        <v>0.72142450178926942</v>
      </c>
      <c r="W29" s="14">
        <f>V26*V29</f>
        <v>0</v>
      </c>
    </row>
    <row r="30" spans="1:29" ht="17" x14ac:dyDescent="0.3">
      <c r="A30" s="13" t="s">
        <v>152</v>
      </c>
      <c r="B30" s="7">
        <v>7.6499999999999999E-2</v>
      </c>
      <c r="D30" s="30">
        <f>D9*$B30</f>
        <v>0</v>
      </c>
      <c r="E30" s="30">
        <f t="shared" ref="E30:O30" si="15">E9*$B30</f>
        <v>0</v>
      </c>
      <c r="F30" s="30">
        <f t="shared" si="15"/>
        <v>0</v>
      </c>
      <c r="G30" s="30">
        <f t="shared" si="15"/>
        <v>0</v>
      </c>
      <c r="H30" s="30">
        <f t="shared" si="15"/>
        <v>0</v>
      </c>
      <c r="I30" s="30">
        <f t="shared" si="15"/>
        <v>0</v>
      </c>
      <c r="J30" s="30">
        <f t="shared" si="15"/>
        <v>353.07692307692304</v>
      </c>
      <c r="K30" s="30">
        <f t="shared" si="15"/>
        <v>353.07692307692304</v>
      </c>
      <c r="L30" s="30">
        <f t="shared" si="15"/>
        <v>529.61538461538464</v>
      </c>
      <c r="M30" s="30">
        <f t="shared" si="15"/>
        <v>353.07692307692304</v>
      </c>
      <c r="N30" s="30">
        <f t="shared" si="15"/>
        <v>353.07692307692304</v>
      </c>
      <c r="O30" s="30">
        <f t="shared" si="15"/>
        <v>353.07692307692304</v>
      </c>
      <c r="Q30" s="31">
        <f>SUM(D30:P30)</f>
        <v>2295</v>
      </c>
      <c r="T30" s="2" t="s">
        <v>164</v>
      </c>
      <c r="U30" s="32">
        <v>435.16</v>
      </c>
      <c r="V30" s="15">
        <f>U30/U31</f>
        <v>0.27857549821073047</v>
      </c>
      <c r="W30" s="32">
        <f>V30*V26</f>
        <v>0</v>
      </c>
    </row>
    <row r="31" spans="1:29" x14ac:dyDescent="0.2">
      <c r="A31" s="13" t="s">
        <v>165</v>
      </c>
      <c r="B31" s="7"/>
      <c r="D31" s="2">
        <f>SUM(D28:D30)</f>
        <v>1057.2888461538462</v>
      </c>
      <c r="E31" s="2">
        <f t="shared" ref="E31:O31" si="16">SUM(E28:E30)</f>
        <v>1057.2888461538462</v>
      </c>
      <c r="F31" s="2">
        <f t="shared" si="16"/>
        <v>1585.9332692307694</v>
      </c>
      <c r="G31" s="2">
        <f t="shared" si="16"/>
        <v>1057.2888461538462</v>
      </c>
      <c r="H31" s="2">
        <f t="shared" si="16"/>
        <v>1057.2888461538462</v>
      </c>
      <c r="I31" s="2">
        <f t="shared" si="16"/>
        <v>1057.2888461538462</v>
      </c>
      <c r="J31" s="2">
        <f t="shared" si="16"/>
        <v>1410.3657692307693</v>
      </c>
      <c r="K31" s="2">
        <f t="shared" si="16"/>
        <v>1410.3657692307693</v>
      </c>
      <c r="L31" s="2">
        <f t="shared" si="16"/>
        <v>2115.5486538461541</v>
      </c>
      <c r="M31" s="2">
        <f t="shared" si="16"/>
        <v>1410.3657692307693</v>
      </c>
      <c r="N31" s="2">
        <f t="shared" si="16"/>
        <v>1410.3657692307693</v>
      </c>
      <c r="O31" s="2">
        <f t="shared" si="16"/>
        <v>1410.3657692307693</v>
      </c>
      <c r="Q31" s="3">
        <f>SUM(Q28:Q30)</f>
        <v>16039.755000000001</v>
      </c>
      <c r="U31" s="3">
        <f>SUM(U29:U30)</f>
        <v>1562.0900000000001</v>
      </c>
      <c r="W31" s="3">
        <f>SUM(W29:W30)</f>
        <v>0</v>
      </c>
    </row>
    <row r="33" spans="1:19" x14ac:dyDescent="0.2">
      <c r="A33" s="13" t="s">
        <v>150</v>
      </c>
      <c r="B33" s="7">
        <v>1.09E-2</v>
      </c>
      <c r="D33" s="2">
        <f>D7*$B33</f>
        <v>100.43092307692308</v>
      </c>
      <c r="E33" s="2">
        <f>(14000-D7)*B33</f>
        <v>52.169076923076915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Q33" s="3">
        <f>SUM(D33:P33)</f>
        <v>152.6</v>
      </c>
      <c r="R33" s="13" t="s">
        <v>166</v>
      </c>
      <c r="S33" s="13"/>
    </row>
    <row r="34" spans="1:19" x14ac:dyDescent="0.2">
      <c r="A34" s="13" t="s">
        <v>151</v>
      </c>
      <c r="B34" s="7">
        <v>1.09E-2</v>
      </c>
      <c r="D34" s="2">
        <f>D8*$B34</f>
        <v>50.21546153846154</v>
      </c>
      <c r="E34" s="2">
        <f>E8*$B34</f>
        <v>50.21546153846154</v>
      </c>
      <c r="F34" s="2">
        <v>55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Q34" s="3">
        <f>SUM(D34:P34)</f>
        <v>155.43092307692308</v>
      </c>
    </row>
    <row r="35" spans="1:19" ht="17" x14ac:dyDescent="0.3">
      <c r="A35" s="13" t="s">
        <v>152</v>
      </c>
      <c r="B35" s="7">
        <v>1.09E-2</v>
      </c>
      <c r="D35" s="30">
        <f>D9*$B35</f>
        <v>0</v>
      </c>
      <c r="E35" s="30">
        <f>E9*$B35</f>
        <v>0</v>
      </c>
      <c r="F35" s="30">
        <v>0</v>
      </c>
      <c r="G35" s="30">
        <v>0</v>
      </c>
      <c r="H35" s="30">
        <v>0</v>
      </c>
      <c r="I35" s="30">
        <v>0</v>
      </c>
      <c r="J35" s="30">
        <v>27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Q35" s="31">
        <f>SUM(D35:P35)</f>
        <v>27</v>
      </c>
    </row>
    <row r="36" spans="1:19" x14ac:dyDescent="0.2">
      <c r="A36" s="13" t="s">
        <v>167</v>
      </c>
      <c r="B36" s="7"/>
      <c r="D36" s="2">
        <f>SUM(D33:D35)</f>
        <v>150.64638461538462</v>
      </c>
      <c r="E36" s="2">
        <f t="shared" ref="E36:F36" si="17">SUM(E33:E35)</f>
        <v>102.38453846153845</v>
      </c>
      <c r="F36" s="2">
        <f t="shared" si="17"/>
        <v>55</v>
      </c>
      <c r="G36" s="2">
        <f t="shared" ref="G36:O36" si="18">SUM(G33:G35)*$B$36</f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N36" s="2">
        <f t="shared" si="18"/>
        <v>0</v>
      </c>
      <c r="O36" s="2">
        <f t="shared" si="18"/>
        <v>0</v>
      </c>
      <c r="Q36" s="3">
        <f>SUM(Q33:Q35)</f>
        <v>335.03092307692305</v>
      </c>
    </row>
    <row r="37" spans="1:19" x14ac:dyDescent="0.2">
      <c r="A37" s="13"/>
      <c r="B37" s="3"/>
    </row>
    <row r="38" spans="1:19" x14ac:dyDescent="0.2">
      <c r="A38" s="13" t="s">
        <v>150</v>
      </c>
      <c r="B38" s="7">
        <v>6.0000000000000001E-3</v>
      </c>
      <c r="D38" s="2">
        <v>42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Q38" s="3">
        <f>SUM(D38:P38)</f>
        <v>42</v>
      </c>
      <c r="R38" s="13" t="s">
        <v>168</v>
      </c>
      <c r="S38" s="13"/>
    </row>
    <row r="39" spans="1:19" x14ac:dyDescent="0.2">
      <c r="A39" s="13" t="s">
        <v>151</v>
      </c>
      <c r="B39" s="7">
        <v>6.0000000000000001E-3</v>
      </c>
      <c r="D39" s="2">
        <f>D8*$B39</f>
        <v>27.641538461538463</v>
      </c>
      <c r="E39" s="2">
        <v>15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Q39" s="3">
        <f>SUM(D39:P39)</f>
        <v>42.64153846153846</v>
      </c>
    </row>
    <row r="40" spans="1:19" ht="17" x14ac:dyDescent="0.3">
      <c r="A40" s="13" t="s">
        <v>152</v>
      </c>
      <c r="B40" s="7">
        <v>6.0000000000000001E-3</v>
      </c>
      <c r="D40" s="30">
        <f>D9*$B40</f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7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Q40" s="31">
        <f>SUM(D40:P40)</f>
        <v>7</v>
      </c>
    </row>
    <row r="41" spans="1:19" x14ac:dyDescent="0.2">
      <c r="A41" s="13" t="s">
        <v>169</v>
      </c>
      <c r="B41" s="7"/>
      <c r="D41" s="2">
        <f>SUM(D38:D40)</f>
        <v>69.64153846153846</v>
      </c>
      <c r="E41" s="2">
        <f t="shared" ref="E41:O41" si="19">SUM(E38:E40)</f>
        <v>15</v>
      </c>
      <c r="F41" s="2">
        <f t="shared" si="19"/>
        <v>0</v>
      </c>
      <c r="G41" s="2">
        <f t="shared" si="19"/>
        <v>0</v>
      </c>
      <c r="H41" s="2">
        <f t="shared" si="19"/>
        <v>0</v>
      </c>
      <c r="I41" s="2">
        <f t="shared" si="19"/>
        <v>0</v>
      </c>
      <c r="J41" s="2">
        <f t="shared" si="19"/>
        <v>7</v>
      </c>
      <c r="K41" s="2">
        <f t="shared" si="19"/>
        <v>0</v>
      </c>
      <c r="L41" s="2">
        <f t="shared" si="19"/>
        <v>0</v>
      </c>
      <c r="M41" s="2">
        <f t="shared" si="19"/>
        <v>0</v>
      </c>
      <c r="N41" s="2">
        <f t="shared" si="19"/>
        <v>0</v>
      </c>
      <c r="O41" s="2">
        <f t="shared" si="19"/>
        <v>0</v>
      </c>
      <c r="Q41" s="3">
        <f>SUM(Q38:Q40)</f>
        <v>91.64153846153846</v>
      </c>
    </row>
    <row r="43" spans="1:19" s="16" customFormat="1" ht="14" thickBot="1" x14ac:dyDescent="0.2">
      <c r="A43" s="16" t="s">
        <v>170</v>
      </c>
      <c r="B43" s="17"/>
      <c r="D43" s="18">
        <f t="shared" ref="D43:O43" si="20">D31+D36+D41</f>
        <v>1277.5767692307693</v>
      </c>
      <c r="E43" s="18">
        <f t="shared" si="20"/>
        <v>1174.6733846153847</v>
      </c>
      <c r="F43" s="18">
        <f t="shared" si="20"/>
        <v>1640.9332692307694</v>
      </c>
      <c r="G43" s="18">
        <f t="shared" si="20"/>
        <v>1057.2888461538462</v>
      </c>
      <c r="H43" s="18">
        <f t="shared" si="20"/>
        <v>1057.2888461538462</v>
      </c>
      <c r="I43" s="18">
        <f t="shared" si="20"/>
        <v>1057.2888461538462</v>
      </c>
      <c r="J43" s="18">
        <f t="shared" si="20"/>
        <v>1417.3657692307693</v>
      </c>
      <c r="K43" s="18">
        <f t="shared" si="20"/>
        <v>1410.3657692307693</v>
      </c>
      <c r="L43" s="18">
        <f t="shared" si="20"/>
        <v>2115.5486538461541</v>
      </c>
      <c r="M43" s="18">
        <f t="shared" si="20"/>
        <v>1410.3657692307693</v>
      </c>
      <c r="N43" s="18">
        <f t="shared" si="20"/>
        <v>1410.3657692307693</v>
      </c>
      <c r="O43" s="18">
        <f t="shared" si="20"/>
        <v>1410.3657692307693</v>
      </c>
      <c r="Q43" s="19">
        <f>SUM(Q31,Q36,Q41)</f>
        <v>16466.427461538464</v>
      </c>
    </row>
    <row r="46" spans="1:19" x14ac:dyDescent="0.2">
      <c r="M46" s="33" t="s">
        <v>150</v>
      </c>
      <c r="N46" s="34"/>
      <c r="O46" s="34"/>
      <c r="P46" s="35"/>
      <c r="Q46" s="33">
        <f>SUM(Q7,Q15,Q28,Q33,Q38)</f>
        <v>145274.98600000003</v>
      </c>
      <c r="R46" s="43"/>
    </row>
    <row r="47" spans="1:19" s="36" customFormat="1" x14ac:dyDescent="0.2">
      <c r="B47" s="37"/>
      <c r="D47" s="37"/>
      <c r="E47" s="37"/>
      <c r="F47" s="37"/>
      <c r="G47" s="37"/>
      <c r="H47" s="37"/>
      <c r="I47" s="37"/>
      <c r="J47" s="37"/>
      <c r="K47" s="37"/>
      <c r="L47" s="37"/>
      <c r="M47" s="33" t="s">
        <v>171</v>
      </c>
      <c r="N47" s="34"/>
      <c r="O47" s="34"/>
      <c r="P47" s="35"/>
      <c r="Q47" s="33">
        <f>SUM(Q8,Q16,Q29,Q34,Q39)</f>
        <v>70945.241461538477</v>
      </c>
      <c r="R47" s="43"/>
    </row>
    <row r="48" spans="1:19" s="36" customFormat="1" ht="17" x14ac:dyDescent="0.3">
      <c r="B48" s="37"/>
      <c r="D48" s="37"/>
      <c r="E48" s="37"/>
      <c r="F48" s="37"/>
      <c r="G48" s="37"/>
      <c r="H48" s="37"/>
      <c r="I48" s="37"/>
      <c r="J48" s="37"/>
      <c r="K48" s="37"/>
      <c r="L48" s="37"/>
      <c r="M48" s="33" t="s">
        <v>172</v>
      </c>
      <c r="N48" s="34"/>
      <c r="O48" s="34"/>
      <c r="P48" s="35"/>
      <c r="Q48" s="38">
        <f>SUM(Q9,Q17,Q30,Q35,Q40)</f>
        <v>35703.4</v>
      </c>
      <c r="R48" s="43"/>
    </row>
    <row r="49" spans="13:20" x14ac:dyDescent="0.2">
      <c r="M49" s="34"/>
      <c r="N49" s="34"/>
      <c r="O49" s="34"/>
      <c r="P49" s="35"/>
      <c r="Q49" s="33">
        <f>SUM(Q46:Q48)</f>
        <v>251923.6274615385</v>
      </c>
      <c r="R49" s="122" t="s">
        <v>266</v>
      </c>
      <c r="S49" s="122"/>
      <c r="T49" s="13"/>
    </row>
    <row r="50" spans="13:20" x14ac:dyDescent="0.2">
      <c r="T50" s="13"/>
    </row>
    <row r="51" spans="13:20" x14ac:dyDescent="0.2">
      <c r="T51" s="13"/>
    </row>
    <row r="52" spans="13:20" x14ac:dyDescent="0.2">
      <c r="T52" s="13"/>
    </row>
    <row r="53" spans="13:20" x14ac:dyDescent="0.2">
      <c r="T53" s="13"/>
    </row>
    <row r="54" spans="13:20" x14ac:dyDescent="0.2">
      <c r="T54" s="13"/>
    </row>
    <row r="55" spans="13:20" x14ac:dyDescent="0.2">
      <c r="T55" s="13"/>
    </row>
    <row r="56" spans="13:20" x14ac:dyDescent="0.2">
      <c r="T56" s="13"/>
    </row>
    <row r="57" spans="13:20" x14ac:dyDescent="0.2">
      <c r="T57" s="13"/>
    </row>
    <row r="58" spans="13:20" x14ac:dyDescent="0.2">
      <c r="T58" s="13"/>
    </row>
    <row r="59" spans="13:20" x14ac:dyDescent="0.2">
      <c r="T59" s="13"/>
    </row>
    <row r="60" spans="13:20" x14ac:dyDescent="0.2">
      <c r="T60" s="13"/>
    </row>
    <row r="61" spans="13:20" x14ac:dyDescent="0.2">
      <c r="T61" s="13"/>
    </row>
    <row r="62" spans="13:20" x14ac:dyDescent="0.2">
      <c r="T62" s="13"/>
    </row>
    <row r="63" spans="13:20" x14ac:dyDescent="0.2">
      <c r="T63" s="13"/>
    </row>
    <row r="64" spans="13:20" x14ac:dyDescent="0.2">
      <c r="T64" s="13"/>
    </row>
    <row r="65" spans="1:20" x14ac:dyDescent="0.2">
      <c r="T65" s="13"/>
    </row>
    <row r="66" spans="1:20" x14ac:dyDescent="0.2">
      <c r="A66" s="39">
        <v>44022</v>
      </c>
      <c r="B66" s="40">
        <v>1</v>
      </c>
    </row>
    <row r="67" spans="1:20" x14ac:dyDescent="0.2">
      <c r="A67" s="39">
        <f>A66+14</f>
        <v>44036</v>
      </c>
      <c r="B67" s="40">
        <v>2</v>
      </c>
    </row>
    <row r="68" spans="1:20" x14ac:dyDescent="0.2">
      <c r="A68" s="41">
        <f t="shared" ref="A68:A91" si="21">A67+14</f>
        <v>44050</v>
      </c>
      <c r="B68" s="2">
        <v>3</v>
      </c>
    </row>
    <row r="69" spans="1:20" x14ac:dyDescent="0.2">
      <c r="A69" s="41">
        <f t="shared" si="21"/>
        <v>44064</v>
      </c>
      <c r="B69" s="2">
        <v>4</v>
      </c>
    </row>
    <row r="70" spans="1:20" x14ac:dyDescent="0.2">
      <c r="A70" s="39">
        <f t="shared" si="21"/>
        <v>44078</v>
      </c>
      <c r="B70" s="40">
        <v>5</v>
      </c>
    </row>
    <row r="71" spans="1:20" x14ac:dyDescent="0.2">
      <c r="A71" s="39">
        <f t="shared" si="21"/>
        <v>44092</v>
      </c>
      <c r="B71" s="40">
        <v>6</v>
      </c>
    </row>
    <row r="72" spans="1:20" x14ac:dyDescent="0.2">
      <c r="A72" s="25">
        <f t="shared" si="21"/>
        <v>44106</v>
      </c>
      <c r="B72" s="22">
        <v>7</v>
      </c>
    </row>
    <row r="73" spans="1:20" x14ac:dyDescent="0.2">
      <c r="A73" s="25">
        <f t="shared" si="21"/>
        <v>44120</v>
      </c>
      <c r="B73" s="22">
        <v>8</v>
      </c>
    </row>
    <row r="74" spans="1:20" x14ac:dyDescent="0.2">
      <c r="A74" s="42">
        <f t="shared" si="21"/>
        <v>44134</v>
      </c>
      <c r="B74" s="17">
        <v>9</v>
      </c>
    </row>
    <row r="75" spans="1:20" x14ac:dyDescent="0.2">
      <c r="A75" s="39">
        <f t="shared" si="21"/>
        <v>44148</v>
      </c>
      <c r="B75" s="40">
        <v>10</v>
      </c>
    </row>
    <row r="76" spans="1:20" x14ac:dyDescent="0.2">
      <c r="A76" s="39">
        <f t="shared" si="21"/>
        <v>44162</v>
      </c>
      <c r="B76" s="40">
        <v>11</v>
      </c>
    </row>
    <row r="77" spans="1:20" x14ac:dyDescent="0.2">
      <c r="A77" s="41">
        <f t="shared" si="21"/>
        <v>44176</v>
      </c>
      <c r="B77" s="2">
        <v>12</v>
      </c>
    </row>
    <row r="78" spans="1:20" x14ac:dyDescent="0.2">
      <c r="A78" s="41">
        <f t="shared" si="21"/>
        <v>44190</v>
      </c>
      <c r="B78" s="2">
        <v>13</v>
      </c>
    </row>
    <row r="79" spans="1:20" x14ac:dyDescent="0.2">
      <c r="A79" s="39">
        <f t="shared" si="21"/>
        <v>44204</v>
      </c>
      <c r="B79" s="40">
        <v>14</v>
      </c>
    </row>
    <row r="80" spans="1:20" x14ac:dyDescent="0.2">
      <c r="A80" s="39">
        <f t="shared" si="21"/>
        <v>44218</v>
      </c>
      <c r="B80" s="40">
        <v>15</v>
      </c>
    </row>
    <row r="81" spans="1:2" x14ac:dyDescent="0.2">
      <c r="A81" s="41">
        <f t="shared" si="21"/>
        <v>44232</v>
      </c>
      <c r="B81" s="2">
        <v>16</v>
      </c>
    </row>
    <row r="82" spans="1:2" x14ac:dyDescent="0.2">
      <c r="A82" s="41">
        <f t="shared" si="21"/>
        <v>44246</v>
      </c>
      <c r="B82" s="2">
        <v>17</v>
      </c>
    </row>
    <row r="83" spans="1:2" x14ac:dyDescent="0.2">
      <c r="A83" s="39">
        <f t="shared" si="21"/>
        <v>44260</v>
      </c>
      <c r="B83" s="40">
        <v>18</v>
      </c>
    </row>
    <row r="84" spans="1:2" x14ac:dyDescent="0.2">
      <c r="A84" s="39">
        <f t="shared" si="21"/>
        <v>44274</v>
      </c>
      <c r="B84" s="40">
        <v>19</v>
      </c>
    </row>
    <row r="85" spans="1:2" x14ac:dyDescent="0.2">
      <c r="A85" s="25">
        <f t="shared" si="21"/>
        <v>44288</v>
      </c>
      <c r="B85" s="22">
        <v>20</v>
      </c>
    </row>
    <row r="86" spans="1:2" x14ac:dyDescent="0.2">
      <c r="A86" s="25">
        <f t="shared" si="21"/>
        <v>44302</v>
      </c>
      <c r="B86" s="22">
        <v>21</v>
      </c>
    </row>
    <row r="87" spans="1:2" x14ac:dyDescent="0.2">
      <c r="A87" s="42">
        <f t="shared" si="21"/>
        <v>44316</v>
      </c>
      <c r="B87" s="17">
        <v>22</v>
      </c>
    </row>
    <row r="88" spans="1:2" x14ac:dyDescent="0.2">
      <c r="A88" s="39">
        <f t="shared" si="21"/>
        <v>44330</v>
      </c>
      <c r="B88" s="40">
        <v>23</v>
      </c>
    </row>
    <row r="89" spans="1:2" x14ac:dyDescent="0.2">
      <c r="A89" s="39">
        <f t="shared" si="21"/>
        <v>44344</v>
      </c>
      <c r="B89" s="40">
        <v>24</v>
      </c>
    </row>
    <row r="90" spans="1:2" x14ac:dyDescent="0.2">
      <c r="A90" s="41">
        <f t="shared" si="21"/>
        <v>44358</v>
      </c>
      <c r="B90" s="2">
        <v>25</v>
      </c>
    </row>
    <row r="91" spans="1:2" x14ac:dyDescent="0.2">
      <c r="A91" s="41">
        <f t="shared" si="21"/>
        <v>44372</v>
      </c>
      <c r="B91" s="2">
        <v>26</v>
      </c>
    </row>
    <row r="92" spans="1:2" x14ac:dyDescent="0.2">
      <c r="A92" s="41"/>
    </row>
    <row r="93" spans="1:2" x14ac:dyDescent="0.2">
      <c r="A93" s="41"/>
    </row>
    <row r="94" spans="1:2" x14ac:dyDescent="0.2">
      <c r="A94" s="41"/>
    </row>
    <row r="95" spans="1:2" x14ac:dyDescent="0.2">
      <c r="A95" s="41"/>
    </row>
    <row r="96" spans="1:2" x14ac:dyDescent="0.2">
      <c r="A96" s="41"/>
    </row>
    <row r="97" spans="1:1" x14ac:dyDescent="0.2">
      <c r="A97" s="41"/>
    </row>
    <row r="98" spans="1:1" x14ac:dyDescent="0.2">
      <c r="A98" s="41"/>
    </row>
    <row r="99" spans="1:1" x14ac:dyDescent="0.2">
      <c r="A99" s="41"/>
    </row>
    <row r="100" spans="1:1" x14ac:dyDescent="0.2">
      <c r="A100" s="41"/>
    </row>
    <row r="101" spans="1:1" x14ac:dyDescent="0.2">
      <c r="A101" s="41"/>
    </row>
    <row r="102" spans="1:1" x14ac:dyDescent="0.2">
      <c r="A102" s="41"/>
    </row>
    <row r="103" spans="1:1" x14ac:dyDescent="0.2">
      <c r="A103" s="41"/>
    </row>
    <row r="104" spans="1:1" x14ac:dyDescent="0.2">
      <c r="A104" s="41"/>
    </row>
    <row r="105" spans="1:1" x14ac:dyDescent="0.2">
      <c r="A105" s="41"/>
    </row>
    <row r="106" spans="1:1" x14ac:dyDescent="0.2">
      <c r="A106" s="41"/>
    </row>
    <row r="107" spans="1:1" x14ac:dyDescent="0.2">
      <c r="A107" s="41"/>
    </row>
    <row r="108" spans="1:1" x14ac:dyDescent="0.2">
      <c r="A108" s="41"/>
    </row>
    <row r="109" spans="1:1" x14ac:dyDescent="0.2">
      <c r="A109" s="41"/>
    </row>
    <row r="110" spans="1:1" x14ac:dyDescent="0.2">
      <c r="A110" s="41"/>
    </row>
    <row r="111" spans="1:1" x14ac:dyDescent="0.2">
      <c r="A111" s="41"/>
    </row>
    <row r="112" spans="1:1" x14ac:dyDescent="0.2">
      <c r="A112" s="41"/>
    </row>
    <row r="113" spans="1:1" x14ac:dyDescent="0.2">
      <c r="A113" s="41"/>
    </row>
    <row r="114" spans="1:1" x14ac:dyDescent="0.2">
      <c r="A114" s="41"/>
    </row>
    <row r="115" spans="1:1" x14ac:dyDescent="0.2">
      <c r="A115" s="41"/>
    </row>
    <row r="116" spans="1:1" x14ac:dyDescent="0.2">
      <c r="A116" s="41"/>
    </row>
    <row r="117" spans="1:1" x14ac:dyDescent="0.2">
      <c r="A117" s="41"/>
    </row>
    <row r="118" spans="1:1" x14ac:dyDescent="0.2">
      <c r="A118" s="41"/>
    </row>
    <row r="119" spans="1:1" x14ac:dyDescent="0.2">
      <c r="A119" s="41"/>
    </row>
    <row r="120" spans="1:1" x14ac:dyDescent="0.2">
      <c r="A120" s="41"/>
    </row>
    <row r="121" spans="1:1" x14ac:dyDescent="0.2">
      <c r="A121" s="41"/>
    </row>
    <row r="122" spans="1:1" x14ac:dyDescent="0.2">
      <c r="A122" s="41"/>
    </row>
    <row r="123" spans="1:1" x14ac:dyDescent="0.2">
      <c r="A123" s="41"/>
    </row>
    <row r="124" spans="1:1" x14ac:dyDescent="0.2">
      <c r="A124" s="41"/>
    </row>
    <row r="125" spans="1:1" x14ac:dyDescent="0.2">
      <c r="A125" s="41"/>
    </row>
    <row r="126" spans="1:1" x14ac:dyDescent="0.2">
      <c r="A126" s="41"/>
    </row>
    <row r="127" spans="1:1" x14ac:dyDescent="0.2">
      <c r="A127" s="41"/>
    </row>
    <row r="128" spans="1:1" x14ac:dyDescent="0.2">
      <c r="A128" s="41"/>
    </row>
    <row r="129" spans="1:1" x14ac:dyDescent="0.2">
      <c r="A129" s="41"/>
    </row>
    <row r="130" spans="1:1" x14ac:dyDescent="0.2">
      <c r="A130" s="41"/>
    </row>
    <row r="131" spans="1:1" x14ac:dyDescent="0.2">
      <c r="A131" s="41"/>
    </row>
    <row r="132" spans="1:1" x14ac:dyDescent="0.2">
      <c r="A132" s="41"/>
    </row>
    <row r="133" spans="1:1" x14ac:dyDescent="0.2">
      <c r="A133" s="41"/>
    </row>
    <row r="134" spans="1:1" x14ac:dyDescent="0.2">
      <c r="A134" s="41"/>
    </row>
    <row r="135" spans="1:1" x14ac:dyDescent="0.2">
      <c r="A135" s="41"/>
    </row>
    <row r="136" spans="1:1" x14ac:dyDescent="0.2">
      <c r="A136" s="41"/>
    </row>
    <row r="137" spans="1:1" x14ac:dyDescent="0.2">
      <c r="A137" s="41"/>
    </row>
    <row r="138" spans="1:1" x14ac:dyDescent="0.2">
      <c r="A138" s="41"/>
    </row>
    <row r="139" spans="1:1" x14ac:dyDescent="0.2">
      <c r="A139" s="41"/>
    </row>
    <row r="140" spans="1:1" x14ac:dyDescent="0.2">
      <c r="A140" s="41"/>
    </row>
    <row r="141" spans="1:1" x14ac:dyDescent="0.2">
      <c r="A141" s="41"/>
    </row>
    <row r="142" spans="1:1" x14ac:dyDescent="0.2">
      <c r="A142" s="41"/>
    </row>
    <row r="143" spans="1:1" x14ac:dyDescent="0.2">
      <c r="A143" s="41"/>
    </row>
    <row r="144" spans="1:1" x14ac:dyDescent="0.2">
      <c r="A144" s="41"/>
    </row>
    <row r="145" spans="1:1" x14ac:dyDescent="0.2">
      <c r="A145" s="41"/>
    </row>
    <row r="146" spans="1:1" x14ac:dyDescent="0.2">
      <c r="A146" s="41"/>
    </row>
    <row r="147" spans="1:1" x14ac:dyDescent="0.2">
      <c r="A147" s="41"/>
    </row>
    <row r="148" spans="1:1" x14ac:dyDescent="0.2">
      <c r="A148" s="41"/>
    </row>
    <row r="149" spans="1:1" x14ac:dyDescent="0.2">
      <c r="A149" s="41"/>
    </row>
    <row r="150" spans="1:1" x14ac:dyDescent="0.2">
      <c r="A150" s="41"/>
    </row>
    <row r="151" spans="1:1" x14ac:dyDescent="0.2">
      <c r="A151" s="41"/>
    </row>
    <row r="152" spans="1:1" x14ac:dyDescent="0.2">
      <c r="A152" s="41"/>
    </row>
    <row r="153" spans="1:1" x14ac:dyDescent="0.2">
      <c r="A153" s="41"/>
    </row>
    <row r="154" spans="1:1" x14ac:dyDescent="0.2">
      <c r="A154" s="41"/>
    </row>
    <row r="155" spans="1:1" x14ac:dyDescent="0.2">
      <c r="A155" s="41"/>
    </row>
    <row r="156" spans="1:1" x14ac:dyDescent="0.2">
      <c r="A156" s="41"/>
    </row>
    <row r="157" spans="1:1" x14ac:dyDescent="0.2">
      <c r="A157" s="41"/>
    </row>
    <row r="158" spans="1:1" x14ac:dyDescent="0.2">
      <c r="A158" s="41"/>
    </row>
    <row r="159" spans="1:1" x14ac:dyDescent="0.2">
      <c r="A159" s="41"/>
    </row>
    <row r="160" spans="1:1" x14ac:dyDescent="0.2">
      <c r="A160" s="41"/>
    </row>
    <row r="161" spans="1:1" x14ac:dyDescent="0.2">
      <c r="A161" s="41"/>
    </row>
    <row r="162" spans="1:1" x14ac:dyDescent="0.2">
      <c r="A162" s="41"/>
    </row>
    <row r="163" spans="1:1" x14ac:dyDescent="0.2">
      <c r="A163" s="41"/>
    </row>
    <row r="164" spans="1:1" x14ac:dyDescent="0.2">
      <c r="A164" s="41"/>
    </row>
    <row r="165" spans="1:1" x14ac:dyDescent="0.2">
      <c r="A165" s="41"/>
    </row>
    <row r="166" spans="1:1" x14ac:dyDescent="0.2">
      <c r="A166" s="41"/>
    </row>
    <row r="167" spans="1:1" x14ac:dyDescent="0.2">
      <c r="A167" s="41"/>
    </row>
    <row r="168" spans="1:1" x14ac:dyDescent="0.2">
      <c r="A168" s="41"/>
    </row>
    <row r="169" spans="1:1" x14ac:dyDescent="0.2">
      <c r="A169" s="41"/>
    </row>
    <row r="170" spans="1:1" x14ac:dyDescent="0.2">
      <c r="A170" s="41"/>
    </row>
    <row r="171" spans="1:1" x14ac:dyDescent="0.2">
      <c r="A171" s="41"/>
    </row>
    <row r="172" spans="1:1" x14ac:dyDescent="0.2">
      <c r="A172" s="41"/>
    </row>
    <row r="173" spans="1:1" x14ac:dyDescent="0.2">
      <c r="A173" s="41"/>
    </row>
    <row r="174" spans="1:1" x14ac:dyDescent="0.2">
      <c r="A174" s="41"/>
    </row>
    <row r="175" spans="1:1" x14ac:dyDescent="0.2">
      <c r="A175" s="41"/>
    </row>
    <row r="176" spans="1:1" x14ac:dyDescent="0.2">
      <c r="A176" s="41"/>
    </row>
    <row r="177" spans="1:1" x14ac:dyDescent="0.2">
      <c r="A177" s="41"/>
    </row>
    <row r="178" spans="1:1" x14ac:dyDescent="0.2">
      <c r="A178" s="41"/>
    </row>
    <row r="179" spans="1:1" x14ac:dyDescent="0.2">
      <c r="A179" s="41"/>
    </row>
    <row r="180" spans="1:1" x14ac:dyDescent="0.2">
      <c r="A180" s="41"/>
    </row>
    <row r="181" spans="1:1" x14ac:dyDescent="0.2">
      <c r="A181" s="41"/>
    </row>
    <row r="182" spans="1:1" x14ac:dyDescent="0.2">
      <c r="A182" s="41"/>
    </row>
    <row r="183" spans="1:1" x14ac:dyDescent="0.2">
      <c r="A183" s="41"/>
    </row>
    <row r="184" spans="1:1" x14ac:dyDescent="0.2">
      <c r="A184" s="41"/>
    </row>
    <row r="185" spans="1:1" x14ac:dyDescent="0.2">
      <c r="A185" s="41"/>
    </row>
    <row r="186" spans="1:1" x14ac:dyDescent="0.2">
      <c r="A186" s="41"/>
    </row>
    <row r="187" spans="1:1" x14ac:dyDescent="0.2">
      <c r="A187" s="41"/>
    </row>
    <row r="188" spans="1:1" x14ac:dyDescent="0.2">
      <c r="A188" s="41"/>
    </row>
    <row r="189" spans="1:1" x14ac:dyDescent="0.2">
      <c r="A189" s="41"/>
    </row>
    <row r="190" spans="1:1" x14ac:dyDescent="0.2">
      <c r="A190" s="41"/>
    </row>
    <row r="191" spans="1:1" x14ac:dyDescent="0.2">
      <c r="A191" s="41"/>
    </row>
    <row r="192" spans="1:1" x14ac:dyDescent="0.2">
      <c r="A192" s="41"/>
    </row>
    <row r="193" spans="1:1" x14ac:dyDescent="0.2">
      <c r="A193" s="41"/>
    </row>
    <row r="194" spans="1:1" x14ac:dyDescent="0.2">
      <c r="A194" s="41"/>
    </row>
    <row r="195" spans="1:1" x14ac:dyDescent="0.2">
      <c r="A195" s="41"/>
    </row>
    <row r="196" spans="1:1" x14ac:dyDescent="0.2">
      <c r="A196" s="41"/>
    </row>
    <row r="197" spans="1:1" x14ac:dyDescent="0.2">
      <c r="A197" s="41"/>
    </row>
    <row r="198" spans="1:1" x14ac:dyDescent="0.2">
      <c r="A198" s="41"/>
    </row>
    <row r="199" spans="1:1" x14ac:dyDescent="0.2">
      <c r="A199" s="41"/>
    </row>
    <row r="200" spans="1:1" x14ac:dyDescent="0.2">
      <c r="A200" s="41"/>
    </row>
    <row r="201" spans="1:1" x14ac:dyDescent="0.2">
      <c r="A201" s="41"/>
    </row>
    <row r="202" spans="1:1" x14ac:dyDescent="0.2">
      <c r="A202" s="41"/>
    </row>
    <row r="203" spans="1:1" x14ac:dyDescent="0.2">
      <c r="A203" s="41"/>
    </row>
    <row r="204" spans="1:1" x14ac:dyDescent="0.2">
      <c r="A204" s="41"/>
    </row>
    <row r="205" spans="1:1" x14ac:dyDescent="0.2">
      <c r="A205" s="41"/>
    </row>
    <row r="206" spans="1:1" x14ac:dyDescent="0.2">
      <c r="A206" s="41"/>
    </row>
    <row r="207" spans="1:1" x14ac:dyDescent="0.2">
      <c r="A207" s="41"/>
    </row>
    <row r="208" spans="1:1" x14ac:dyDescent="0.2">
      <c r="A208" s="41"/>
    </row>
    <row r="209" spans="1:1" x14ac:dyDescent="0.2">
      <c r="A209" s="41"/>
    </row>
    <row r="210" spans="1:1" x14ac:dyDescent="0.2">
      <c r="A210" s="41"/>
    </row>
    <row r="211" spans="1:1" x14ac:dyDescent="0.2">
      <c r="A211" s="41"/>
    </row>
    <row r="212" spans="1:1" x14ac:dyDescent="0.2">
      <c r="A212" s="41"/>
    </row>
    <row r="213" spans="1:1" x14ac:dyDescent="0.2">
      <c r="A213" s="41"/>
    </row>
    <row r="214" spans="1:1" x14ac:dyDescent="0.2">
      <c r="A214" s="41"/>
    </row>
    <row r="215" spans="1:1" x14ac:dyDescent="0.2">
      <c r="A215" s="41"/>
    </row>
    <row r="216" spans="1:1" x14ac:dyDescent="0.2">
      <c r="A216" s="41"/>
    </row>
    <row r="217" spans="1:1" x14ac:dyDescent="0.2">
      <c r="A217" s="41"/>
    </row>
    <row r="218" spans="1:1" x14ac:dyDescent="0.2">
      <c r="A218" s="41"/>
    </row>
    <row r="219" spans="1:1" x14ac:dyDescent="0.2">
      <c r="A219" s="41"/>
    </row>
    <row r="220" spans="1:1" x14ac:dyDescent="0.2">
      <c r="A220" s="41"/>
    </row>
    <row r="221" spans="1:1" x14ac:dyDescent="0.2">
      <c r="A221" s="41"/>
    </row>
    <row r="222" spans="1:1" x14ac:dyDescent="0.2">
      <c r="A222" s="41"/>
    </row>
    <row r="223" spans="1:1" x14ac:dyDescent="0.2">
      <c r="A223" s="41"/>
    </row>
    <row r="224" spans="1:1" x14ac:dyDescent="0.2">
      <c r="A224" s="41"/>
    </row>
    <row r="225" spans="1:1" x14ac:dyDescent="0.2">
      <c r="A225" s="41"/>
    </row>
    <row r="226" spans="1:1" x14ac:dyDescent="0.2">
      <c r="A226" s="41"/>
    </row>
    <row r="227" spans="1:1" x14ac:dyDescent="0.2">
      <c r="A227" s="41"/>
    </row>
    <row r="228" spans="1:1" x14ac:dyDescent="0.2">
      <c r="A228" s="41"/>
    </row>
    <row r="229" spans="1:1" x14ac:dyDescent="0.2">
      <c r="A229" s="41"/>
    </row>
    <row r="230" spans="1:1" x14ac:dyDescent="0.2">
      <c r="A230" s="41"/>
    </row>
    <row r="231" spans="1:1" x14ac:dyDescent="0.2">
      <c r="A231" s="41"/>
    </row>
    <row r="232" spans="1:1" x14ac:dyDescent="0.2">
      <c r="A232" s="41"/>
    </row>
    <row r="233" spans="1:1" x14ac:dyDescent="0.2">
      <c r="A233" s="41"/>
    </row>
    <row r="234" spans="1:1" x14ac:dyDescent="0.2">
      <c r="A234" s="41"/>
    </row>
    <row r="235" spans="1:1" x14ac:dyDescent="0.2">
      <c r="A235" s="41"/>
    </row>
    <row r="236" spans="1:1" x14ac:dyDescent="0.2">
      <c r="A236" s="41"/>
    </row>
    <row r="237" spans="1:1" x14ac:dyDescent="0.2">
      <c r="A237" s="41"/>
    </row>
    <row r="238" spans="1:1" x14ac:dyDescent="0.2">
      <c r="A238" s="41"/>
    </row>
    <row r="239" spans="1:1" x14ac:dyDescent="0.2">
      <c r="A239" s="41"/>
    </row>
    <row r="240" spans="1:1" x14ac:dyDescent="0.2">
      <c r="A240" s="41"/>
    </row>
    <row r="241" spans="1:1" x14ac:dyDescent="0.2">
      <c r="A241" s="41"/>
    </row>
    <row r="242" spans="1:1" x14ac:dyDescent="0.2">
      <c r="A242" s="41"/>
    </row>
    <row r="243" spans="1:1" x14ac:dyDescent="0.2">
      <c r="A243" s="41"/>
    </row>
    <row r="244" spans="1:1" x14ac:dyDescent="0.2">
      <c r="A244" s="41"/>
    </row>
    <row r="245" spans="1:1" x14ac:dyDescent="0.2">
      <c r="A245" s="41"/>
    </row>
    <row r="246" spans="1:1" x14ac:dyDescent="0.2">
      <c r="A246" s="41"/>
    </row>
    <row r="247" spans="1:1" x14ac:dyDescent="0.2">
      <c r="A247" s="41"/>
    </row>
    <row r="248" spans="1:1" x14ac:dyDescent="0.2">
      <c r="A248" s="41"/>
    </row>
    <row r="249" spans="1:1" x14ac:dyDescent="0.2">
      <c r="A249" s="41"/>
    </row>
    <row r="250" spans="1:1" x14ac:dyDescent="0.2">
      <c r="A250" s="41"/>
    </row>
    <row r="251" spans="1:1" x14ac:dyDescent="0.2">
      <c r="A251" s="41"/>
    </row>
    <row r="252" spans="1:1" x14ac:dyDescent="0.2">
      <c r="A252" s="41"/>
    </row>
    <row r="253" spans="1:1" x14ac:dyDescent="0.2">
      <c r="A253" s="41"/>
    </row>
    <row r="254" spans="1:1" x14ac:dyDescent="0.2">
      <c r="A254" s="41"/>
    </row>
    <row r="255" spans="1:1" x14ac:dyDescent="0.2">
      <c r="A255" s="41"/>
    </row>
    <row r="256" spans="1:1" x14ac:dyDescent="0.2">
      <c r="A256" s="41"/>
    </row>
    <row r="257" spans="1:1" x14ac:dyDescent="0.2">
      <c r="A257" s="41"/>
    </row>
    <row r="258" spans="1:1" x14ac:dyDescent="0.2">
      <c r="A258" s="41"/>
    </row>
    <row r="259" spans="1:1" x14ac:dyDescent="0.2">
      <c r="A259" s="41"/>
    </row>
    <row r="260" spans="1:1" x14ac:dyDescent="0.2">
      <c r="A260" s="41"/>
    </row>
    <row r="261" spans="1:1" x14ac:dyDescent="0.2">
      <c r="A261" s="41"/>
    </row>
    <row r="262" spans="1:1" x14ac:dyDescent="0.2">
      <c r="A262" s="41"/>
    </row>
    <row r="263" spans="1:1" x14ac:dyDescent="0.2">
      <c r="A263" s="41"/>
    </row>
    <row r="264" spans="1:1" x14ac:dyDescent="0.2">
      <c r="A264" s="41"/>
    </row>
    <row r="265" spans="1:1" x14ac:dyDescent="0.2">
      <c r="A265" s="41"/>
    </row>
    <row r="266" spans="1:1" x14ac:dyDescent="0.2">
      <c r="A266" s="41"/>
    </row>
    <row r="267" spans="1:1" x14ac:dyDescent="0.2">
      <c r="A267" s="41"/>
    </row>
    <row r="268" spans="1:1" x14ac:dyDescent="0.2">
      <c r="A268" s="41"/>
    </row>
    <row r="269" spans="1:1" x14ac:dyDescent="0.2">
      <c r="A269" s="41"/>
    </row>
    <row r="270" spans="1:1" x14ac:dyDescent="0.2">
      <c r="A270" s="41"/>
    </row>
    <row r="271" spans="1:1" x14ac:dyDescent="0.2">
      <c r="A271" s="41"/>
    </row>
    <row r="272" spans="1:1" x14ac:dyDescent="0.2">
      <c r="A272" s="41"/>
    </row>
    <row r="273" spans="1:1" x14ac:dyDescent="0.2">
      <c r="A273" s="41"/>
    </row>
    <row r="274" spans="1:1" x14ac:dyDescent="0.2">
      <c r="A274" s="41"/>
    </row>
    <row r="275" spans="1:1" x14ac:dyDescent="0.2">
      <c r="A275" s="41"/>
    </row>
    <row r="276" spans="1:1" x14ac:dyDescent="0.2">
      <c r="A276" s="41"/>
    </row>
    <row r="277" spans="1:1" x14ac:dyDescent="0.2">
      <c r="A277" s="41"/>
    </row>
    <row r="278" spans="1:1" x14ac:dyDescent="0.2">
      <c r="A278" s="41"/>
    </row>
    <row r="279" spans="1:1" x14ac:dyDescent="0.2">
      <c r="A279" s="41"/>
    </row>
    <row r="280" spans="1:1" x14ac:dyDescent="0.2">
      <c r="A280" s="41"/>
    </row>
    <row r="281" spans="1:1" x14ac:dyDescent="0.2">
      <c r="A281" s="41"/>
    </row>
    <row r="282" spans="1:1" x14ac:dyDescent="0.2">
      <c r="A282" s="41"/>
    </row>
    <row r="283" spans="1:1" x14ac:dyDescent="0.2">
      <c r="A283" s="41"/>
    </row>
    <row r="284" spans="1:1" x14ac:dyDescent="0.2">
      <c r="A284" s="41"/>
    </row>
    <row r="285" spans="1:1" x14ac:dyDescent="0.2">
      <c r="A285" s="41"/>
    </row>
    <row r="286" spans="1:1" x14ac:dyDescent="0.2">
      <c r="A286" s="41"/>
    </row>
    <row r="287" spans="1:1" x14ac:dyDescent="0.2">
      <c r="A287" s="41"/>
    </row>
    <row r="288" spans="1:1" x14ac:dyDescent="0.2">
      <c r="A288" s="41"/>
    </row>
    <row r="289" spans="1:1" x14ac:dyDescent="0.2">
      <c r="A289" s="41"/>
    </row>
    <row r="290" spans="1:1" x14ac:dyDescent="0.2">
      <c r="A290" s="41"/>
    </row>
    <row r="291" spans="1:1" x14ac:dyDescent="0.2">
      <c r="A291" s="41"/>
    </row>
    <row r="292" spans="1:1" x14ac:dyDescent="0.2">
      <c r="A292" s="41"/>
    </row>
    <row r="293" spans="1:1" x14ac:dyDescent="0.2">
      <c r="A293" s="41"/>
    </row>
    <row r="294" spans="1:1" x14ac:dyDescent="0.2">
      <c r="A294" s="41"/>
    </row>
    <row r="295" spans="1:1" x14ac:dyDescent="0.2">
      <c r="A295" s="41"/>
    </row>
    <row r="296" spans="1:1" x14ac:dyDescent="0.2">
      <c r="A296" s="41"/>
    </row>
    <row r="297" spans="1:1" x14ac:dyDescent="0.2">
      <c r="A297" s="41"/>
    </row>
    <row r="298" spans="1:1" x14ac:dyDescent="0.2">
      <c r="A298" s="41"/>
    </row>
    <row r="299" spans="1:1" x14ac:dyDescent="0.2">
      <c r="A299" s="41"/>
    </row>
  </sheetData>
  <mergeCells count="3">
    <mergeCell ref="D3:I3"/>
    <mergeCell ref="J3:O3"/>
    <mergeCell ref="C13:C14"/>
  </mergeCells>
  <pageMargins left="0.2" right="0.2" top="0.75" bottom="0.75" header="0.3" footer="0.3"/>
  <pageSetup scale="70" fitToHeight="10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FY25 Budget</vt:lpstr>
      <vt:lpstr>Payroll</vt:lpstr>
      <vt:lpstr>Payroll!Print_Area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Kay Roper</cp:lastModifiedBy>
  <cp:lastPrinted>2024-06-06T16:42:23Z</cp:lastPrinted>
  <dcterms:created xsi:type="dcterms:W3CDTF">2024-04-24T13:38:23Z</dcterms:created>
  <dcterms:modified xsi:type="dcterms:W3CDTF">2024-11-01T00:54:22Z</dcterms:modified>
</cp:coreProperties>
</file>