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hitaker\Desktop\"/>
    </mc:Choice>
  </mc:AlternateContent>
  <xr:revisionPtr revIDLastSave="0" documentId="8_{AC7DAD7E-78D0-4004-9633-F7FF30489700}" xr6:coauthVersionLast="47" xr6:coauthVersionMax="47" xr10:uidLastSave="{00000000-0000-0000-0000-000000000000}"/>
  <bookViews>
    <workbookView xWindow="-120" yWindow="-120" windowWidth="38640" windowHeight="21120" xr2:uid="{CAB1C159-0EEA-4329-B9E5-0BA92E368BD8}"/>
  </bookViews>
  <sheets>
    <sheet name="Revenue" sheetId="1" r:id="rId1"/>
    <sheet name="Council" sheetId="3" r:id="rId2"/>
    <sheet name="Admin" sheetId="4" r:id="rId3"/>
    <sheet name="Finance" sheetId="5" r:id="rId4"/>
    <sheet name="HR" sheetId="6" r:id="rId5"/>
    <sheet name="Public Works" sheetId="7" r:id="rId6"/>
    <sheet name="Police" sheetId="8" r:id="rId7"/>
    <sheet name="Fire" sheetId="10" r:id="rId8"/>
    <sheet name="Rec &amp; Aquatic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4" l="1"/>
  <c r="K46" i="10"/>
  <c r="L76" i="1" s="1"/>
  <c r="J53" i="4"/>
  <c r="R27" i="4"/>
  <c r="M30" i="12"/>
  <c r="M15" i="12"/>
  <c r="M12" i="12"/>
  <c r="M11" i="12"/>
  <c r="M10" i="12"/>
  <c r="M7" i="12"/>
  <c r="M41" i="12"/>
  <c r="M8" i="12"/>
  <c r="O47" i="8"/>
  <c r="N30" i="6"/>
  <c r="Q33" i="5"/>
  <c r="N43" i="3"/>
  <c r="N75" i="1"/>
  <c r="M33" i="8"/>
  <c r="M47" i="8" s="1"/>
  <c r="M42" i="8"/>
  <c r="O13" i="7"/>
  <c r="O7" i="7"/>
  <c r="M25" i="5"/>
  <c r="M53" i="4"/>
  <c r="N70" i="1"/>
  <c r="L25" i="3"/>
  <c r="N53" i="1"/>
  <c r="L40" i="12"/>
  <c r="L38" i="12"/>
  <c r="L36" i="12"/>
  <c r="L35" i="12"/>
  <c r="L34" i="12"/>
  <c r="L32" i="12"/>
  <c r="L30" i="12"/>
  <c r="L29" i="12"/>
  <c r="L27" i="12"/>
  <c r="L26" i="12"/>
  <c r="L22" i="12"/>
  <c r="L20" i="12"/>
  <c r="L19" i="12"/>
  <c r="L15" i="12"/>
  <c r="L12" i="12"/>
  <c r="L11" i="12"/>
  <c r="L10" i="12"/>
  <c r="L9" i="12"/>
  <c r="L7" i="12"/>
  <c r="L41" i="12"/>
  <c r="L39" i="12"/>
  <c r="L37" i="12"/>
  <c r="L33" i="12"/>
  <c r="L31" i="12"/>
  <c r="L25" i="12"/>
  <c r="L21" i="12"/>
  <c r="L16" i="12"/>
  <c r="L14" i="12"/>
  <c r="L8" i="12"/>
  <c r="L9" i="10"/>
  <c r="L36" i="10"/>
  <c r="L12" i="10"/>
  <c r="L7" i="10"/>
  <c r="L8" i="8"/>
  <c r="L39" i="8"/>
  <c r="L33" i="8"/>
  <c r="L27" i="8"/>
  <c r="N32" i="7"/>
  <c r="K25" i="6"/>
  <c r="L25" i="5"/>
  <c r="M71" i="1"/>
  <c r="M70" i="1"/>
  <c r="L51" i="4"/>
  <c r="L53" i="4"/>
  <c r="M10" i="1"/>
  <c r="M53" i="1"/>
  <c r="K77" i="1"/>
  <c r="K76" i="1"/>
  <c r="K70" i="1"/>
  <c r="K44" i="12"/>
  <c r="L78" i="1" s="1"/>
  <c r="K19" i="12"/>
  <c r="K47" i="8"/>
  <c r="L75" i="1" s="1"/>
  <c r="M42" i="7"/>
  <c r="L74" i="1" s="1"/>
  <c r="J30" i="6"/>
  <c r="L73" i="1" s="1"/>
  <c r="K33" i="5"/>
  <c r="L72" i="1" s="1"/>
  <c r="K56" i="4"/>
  <c r="L71" i="1" s="1"/>
  <c r="J43" i="3"/>
  <c r="L70" i="1" s="1"/>
  <c r="L66" i="1"/>
  <c r="I8" i="6"/>
  <c r="J19" i="12"/>
  <c r="J44" i="12" s="1"/>
  <c r="I44" i="12"/>
  <c r="H44" i="12"/>
  <c r="G44" i="12"/>
  <c r="F44" i="12"/>
  <c r="E44" i="12"/>
  <c r="K78" i="1" l="1"/>
  <c r="L44" i="12"/>
  <c r="M78" i="1" s="1"/>
  <c r="M44" i="12"/>
  <c r="O42" i="7"/>
  <c r="N74" i="1" s="1"/>
  <c r="L30" i="6"/>
  <c r="M33" i="5"/>
  <c r="M56" i="4"/>
  <c r="N71" i="1" s="1"/>
  <c r="L43" i="3"/>
  <c r="N66" i="1"/>
  <c r="J46" i="10"/>
  <c r="K66" i="1" s="1"/>
  <c r="O66" i="1" s="1"/>
  <c r="I30" i="6"/>
  <c r="J33" i="5"/>
  <c r="L42" i="7"/>
  <c r="Q42" i="7" s="1"/>
  <c r="I43" i="3"/>
  <c r="I53" i="4"/>
  <c r="I56" i="4" s="1"/>
  <c r="I46" i="10"/>
  <c r="J53" i="1"/>
  <c r="J66" i="1" s="1"/>
  <c r="I33" i="5"/>
  <c r="I8" i="8"/>
  <c r="I47" i="8" s="1"/>
  <c r="Q7" i="8"/>
  <c r="K42" i="7"/>
  <c r="T7" i="7"/>
  <c r="H10" i="6"/>
  <c r="H9" i="6"/>
  <c r="H30" i="6" s="1"/>
  <c r="H8" i="3"/>
  <c r="H43" i="3" s="1"/>
  <c r="R6" i="3"/>
  <c r="R9" i="3" s="1"/>
  <c r="I66" i="1"/>
  <c r="N78" i="1" l="1"/>
  <c r="P44" i="12"/>
  <c r="K74" i="1"/>
  <c r="N73" i="1"/>
  <c r="K73" i="1"/>
  <c r="K72" i="1"/>
  <c r="N72" i="1"/>
  <c r="J47" i="8"/>
  <c r="J56" i="4"/>
  <c r="O56" i="4" s="1"/>
  <c r="H47" i="8"/>
  <c r="I42" i="7"/>
  <c r="H56" i="4"/>
  <c r="L46" i="10"/>
  <c r="M76" i="1" s="1"/>
  <c r="L47" i="8"/>
  <c r="M75" i="1" s="1"/>
  <c r="N42" i="7"/>
  <c r="M74" i="1" s="1"/>
  <c r="K30" i="6"/>
  <c r="M73" i="1" s="1"/>
  <c r="L33" i="5"/>
  <c r="M72" i="1" s="1"/>
  <c r="L56" i="4"/>
  <c r="K43" i="3"/>
  <c r="M66" i="1"/>
  <c r="H46" i="10"/>
  <c r="G47" i="8"/>
  <c r="H42" i="7"/>
  <c r="J42" i="7"/>
  <c r="G30" i="6"/>
  <c r="H33" i="5"/>
  <c r="G56" i="4"/>
  <c r="G43" i="3"/>
  <c r="H66" i="1"/>
  <c r="F10" i="8"/>
  <c r="F9" i="8"/>
  <c r="F7" i="8"/>
  <c r="K75" i="1" l="1"/>
  <c r="N80" i="1"/>
  <c r="K71" i="1"/>
  <c r="M80" i="1"/>
  <c r="F56" i="4"/>
  <c r="G29" i="1"/>
  <c r="K80" i="1" l="1"/>
  <c r="K82" i="1" s="1"/>
  <c r="L80" i="1"/>
  <c r="F30" i="6"/>
  <c r="F43" i="3"/>
  <c r="L82" i="1" l="1"/>
  <c r="F66" i="1"/>
  <c r="G66" i="1" l="1"/>
  <c r="G42" i="7"/>
  <c r="F46" i="10"/>
  <c r="G46" i="10"/>
  <c r="E11" i="8"/>
  <c r="E47" i="8" s="1"/>
  <c r="F47" i="8"/>
  <c r="F42" i="7"/>
  <c r="E30" i="6"/>
  <c r="F33" i="5"/>
  <c r="G33" i="5"/>
  <c r="E56" i="4"/>
  <c r="E43" i="3"/>
</calcChain>
</file>

<file path=xl/sharedStrings.xml><?xml version="1.0" encoding="utf-8"?>
<sst xmlns="http://schemas.openxmlformats.org/spreadsheetml/2006/main" count="565" uniqueCount="206">
  <si>
    <t>CITY OF CHESTER</t>
  </si>
  <si>
    <t>REVENUE:</t>
  </si>
  <si>
    <t>Taxes - Current</t>
  </si>
  <si>
    <t>TOTAL BUDGETED REVENUE</t>
  </si>
  <si>
    <t>Taxes - Delinquent</t>
  </si>
  <si>
    <t>Taxes - Setoff Debt</t>
  </si>
  <si>
    <t>Taxes - Vehicle</t>
  </si>
  <si>
    <t>Taxes - Pilo</t>
  </si>
  <si>
    <t>MASC - Brokers</t>
  </si>
  <si>
    <t>MASC - Telecom</t>
  </si>
  <si>
    <t>MASC - Insurance</t>
  </si>
  <si>
    <t>Fees - Business License</t>
  </si>
  <si>
    <t>Fees - Franchise</t>
  </si>
  <si>
    <t>Fines - Police</t>
  </si>
  <si>
    <t>Fees - Copies</t>
  </si>
  <si>
    <t>Fees - Residential Disposal</t>
  </si>
  <si>
    <t>Local Govt Fund</t>
  </si>
  <si>
    <t>Homestead Exemption</t>
  </si>
  <si>
    <t>Merchants Inventory</t>
  </si>
  <si>
    <t>State Accommodations Tax</t>
  </si>
  <si>
    <t>Manufacturer Depreciation</t>
  </si>
  <si>
    <t>LOST - Revenue</t>
  </si>
  <si>
    <t>LOST - Tax</t>
  </si>
  <si>
    <t>Fire Contract</t>
  </si>
  <si>
    <t>Fees - Fire Contract</t>
  </si>
  <si>
    <t>Burial Permits</t>
  </si>
  <si>
    <t>Perpetual Care</t>
  </si>
  <si>
    <t>Cemetary Lots</t>
  </si>
  <si>
    <t>Cemetary Marker</t>
  </si>
  <si>
    <t>Recycling Fees</t>
  </si>
  <si>
    <t>Lot Clearing</t>
  </si>
  <si>
    <t>Lot Clearing Debt Setoff</t>
  </si>
  <si>
    <t>Mulch/Compast</t>
  </si>
  <si>
    <t>Zoning Permits</t>
  </si>
  <si>
    <t>Building Permits</t>
  </si>
  <si>
    <t>Weight Room Fees</t>
  </si>
  <si>
    <t>Pool</t>
  </si>
  <si>
    <t>Concessions</t>
  </si>
  <si>
    <t>Rental Fees</t>
  </si>
  <si>
    <t>Bingo</t>
  </si>
  <si>
    <t>Summer Program</t>
  </si>
  <si>
    <t>Team Sports</t>
  </si>
  <si>
    <t>Interest Income</t>
  </si>
  <si>
    <t>Sewer Fees</t>
  </si>
  <si>
    <t>Other Income</t>
  </si>
  <si>
    <t>Special Events</t>
  </si>
  <si>
    <t>Code</t>
  </si>
  <si>
    <t>Description</t>
  </si>
  <si>
    <t>Finance</t>
  </si>
  <si>
    <t>Public Works</t>
  </si>
  <si>
    <t>Police</t>
  </si>
  <si>
    <t>Fire</t>
  </si>
  <si>
    <t>Parks &amp; Rec</t>
  </si>
  <si>
    <t>Salaries - Regular</t>
  </si>
  <si>
    <t>Health insurance</t>
  </si>
  <si>
    <t>FICA/Medicare</t>
  </si>
  <si>
    <t>Retirement</t>
  </si>
  <si>
    <t>Workers Comp</t>
  </si>
  <si>
    <t>Legal</t>
  </si>
  <si>
    <t>Website</t>
  </si>
  <si>
    <t>IT Support</t>
  </si>
  <si>
    <t>Liability Insurance</t>
  </si>
  <si>
    <t>Cell Phones</t>
  </si>
  <si>
    <t>Lease -Printing</t>
  </si>
  <si>
    <t>Muni Code Expense</t>
  </si>
  <si>
    <t>Dues/Subscriptions</t>
  </si>
  <si>
    <t>Training Registration</t>
  </si>
  <si>
    <t>Per Diem - Mileage</t>
  </si>
  <si>
    <t>Lodging</t>
  </si>
  <si>
    <t>Meals</t>
  </si>
  <si>
    <t>Office Supplies</t>
  </si>
  <si>
    <t>Contract Svcs - EAP</t>
  </si>
  <si>
    <t>Parades</t>
  </si>
  <si>
    <t>Hillarity Festival</t>
  </si>
  <si>
    <t>Chamber of Commerce</t>
  </si>
  <si>
    <t>Arts Council</t>
  </si>
  <si>
    <t>Relay for Life</t>
  </si>
  <si>
    <t>Municipal Elections</t>
  </si>
  <si>
    <t>Special Programs</t>
  </si>
  <si>
    <t>Economic Incentive</t>
  </si>
  <si>
    <t>Bank Charges</t>
  </si>
  <si>
    <t>TOTAL EXPENDITURES</t>
  </si>
  <si>
    <t>R/M - Vehicles</t>
  </si>
  <si>
    <t>Juror Fees</t>
  </si>
  <si>
    <t>Software Maintenance</t>
  </si>
  <si>
    <t>Building Maintenance</t>
  </si>
  <si>
    <t>Equipment Maintenance</t>
  </si>
  <si>
    <t>Telephone</t>
  </si>
  <si>
    <t>Advertising</t>
  </si>
  <si>
    <t>Dues/Subscriptions -MC</t>
  </si>
  <si>
    <t>Training Registration - MC</t>
  </si>
  <si>
    <t>Per Diem - Mileage MC</t>
  </si>
  <si>
    <t>Lodging - MC</t>
  </si>
  <si>
    <t>Meals - MC</t>
  </si>
  <si>
    <t>Office Supplies - MC</t>
  </si>
  <si>
    <t>Sup/Mat - Departmental</t>
  </si>
  <si>
    <t>Sup/Mat - Janitorial</t>
  </si>
  <si>
    <t>Power</t>
  </si>
  <si>
    <t>Natural Gas</t>
  </si>
  <si>
    <t>Water/Sewer</t>
  </si>
  <si>
    <t>Fuel</t>
  </si>
  <si>
    <t>C/S - Planning/Zoning</t>
  </si>
  <si>
    <t>C/S - Cemetary</t>
  </si>
  <si>
    <t>Debt Service</t>
  </si>
  <si>
    <t>Christmas Lights</t>
  </si>
  <si>
    <t>Audit Services</t>
  </si>
  <si>
    <t>Postage</t>
  </si>
  <si>
    <t>Lease - Postage</t>
  </si>
  <si>
    <t>Training Materials</t>
  </si>
  <si>
    <t>Mayors Conf/Travel</t>
  </si>
  <si>
    <t>Rollouts</t>
  </si>
  <si>
    <t>C&amp;D Disposal</t>
  </si>
  <si>
    <t>Residential Disposal</t>
  </si>
  <si>
    <t>Uniforms</t>
  </si>
  <si>
    <t>State Treasurer Remittance</t>
  </si>
  <si>
    <t>Victim Asst Remittance</t>
  </si>
  <si>
    <t>Medical</t>
  </si>
  <si>
    <t>Lease - Vehicle</t>
  </si>
  <si>
    <t>Towing Services</t>
  </si>
  <si>
    <t>Inmate Fees</t>
  </si>
  <si>
    <t>Tower Fee</t>
  </si>
  <si>
    <t>Community Relations</t>
  </si>
  <si>
    <t>Victims Advocate</t>
  </si>
  <si>
    <t>Salaries - Temp</t>
  </si>
  <si>
    <t>R/M - Parks</t>
  </si>
  <si>
    <t>R/M - Pool</t>
  </si>
  <si>
    <t>Fireworks</t>
  </si>
  <si>
    <t>R/M - Building</t>
  </si>
  <si>
    <t>R/M Agreements</t>
  </si>
  <si>
    <t>Sup/Mat - IT</t>
  </si>
  <si>
    <t>Professional Fees</t>
  </si>
  <si>
    <t>State Grant</t>
  </si>
  <si>
    <t>Capital Outlay</t>
  </si>
  <si>
    <t>Memorials/Flowers</t>
  </si>
  <si>
    <t>Emergency Preparedness</t>
  </si>
  <si>
    <t>Grant Match</t>
  </si>
  <si>
    <t>DEPARTMENT - COUNCIL</t>
  </si>
  <si>
    <t>2020-2021</t>
  </si>
  <si>
    <t>Budget</t>
  </si>
  <si>
    <t>2019-2020</t>
  </si>
  <si>
    <t>DEPARTMENT - ADMIN/MUNICIPAL COURT</t>
  </si>
  <si>
    <t>C/S - Tax Processing</t>
  </si>
  <si>
    <t>DEPARTMENT - FINANCE</t>
  </si>
  <si>
    <t>DEPARTMENT - HUMAN RESOURCES</t>
  </si>
  <si>
    <t>DEPARTMENT - PUBLIC WORKS</t>
  </si>
  <si>
    <t>DEPARTMENT - POLICE</t>
  </si>
  <si>
    <t>DEPARTMENT - FIRE</t>
  </si>
  <si>
    <t>TOTAL BUDGETED EXPENDITURES</t>
  </si>
  <si>
    <t xml:space="preserve">Council </t>
  </si>
  <si>
    <t>Admin</t>
  </si>
  <si>
    <t>HR</t>
  </si>
  <si>
    <t>BUDGETED EXPENDITURES</t>
  </si>
  <si>
    <t>SHORTFALL</t>
  </si>
  <si>
    <t>Professional Fees - Accounting</t>
  </si>
  <si>
    <t>Professional Fees - Business License</t>
  </si>
  <si>
    <t>Budget Reserve</t>
  </si>
  <si>
    <t>2021-2022</t>
  </si>
  <si>
    <t>Catawba Mental Helath</t>
  </si>
  <si>
    <t>Trash Service</t>
  </si>
  <si>
    <t>Contract</t>
  </si>
  <si>
    <t>YMCA</t>
  </si>
  <si>
    <t>Annual Campaign</t>
  </si>
  <si>
    <t>United Way Allocation</t>
  </si>
  <si>
    <t>Membership</t>
  </si>
  <si>
    <t>Programs</t>
  </si>
  <si>
    <t>Sales</t>
  </si>
  <si>
    <t>Other Revenue</t>
  </si>
  <si>
    <t>Actual</t>
  </si>
  <si>
    <t>Professional Fees - CMD Billing</t>
  </si>
  <si>
    <t>Capital Lease</t>
  </si>
  <si>
    <t>Revised</t>
  </si>
  <si>
    <t>2022-2023</t>
  </si>
  <si>
    <t>Salaries</t>
  </si>
  <si>
    <t>8 council members</t>
  </si>
  <si>
    <t>5408 ea</t>
  </si>
  <si>
    <t>Mayor</t>
  </si>
  <si>
    <t>Muni Court</t>
  </si>
  <si>
    <t>5 employees</t>
  </si>
  <si>
    <t>Hourly</t>
  </si>
  <si>
    <t xml:space="preserve">Administrator </t>
  </si>
  <si>
    <t>AP Clerk</t>
  </si>
  <si>
    <t>10 employees</t>
  </si>
  <si>
    <t>4 vacant positions</t>
  </si>
  <si>
    <t>16 officers</t>
  </si>
  <si>
    <t>1 salaried</t>
  </si>
  <si>
    <t>Contingency</t>
  </si>
  <si>
    <t>2023-2024</t>
  </si>
  <si>
    <t>2024 Budget</t>
  </si>
  <si>
    <t>Finance Officer/</t>
  </si>
  <si>
    <t xml:space="preserve">  Payroll</t>
  </si>
  <si>
    <t>19 Officers</t>
  </si>
  <si>
    <t>23-24</t>
  </si>
  <si>
    <t>Donations</t>
  </si>
  <si>
    <t>Agribusiness Rentals</t>
  </si>
  <si>
    <t>Unemployment Payments</t>
  </si>
  <si>
    <t>Unemployment</t>
  </si>
  <si>
    <t>DEPARTMENT - PARKS, RECREATION AND AQUATIC CENTER</t>
  </si>
  <si>
    <t>2 Part-time</t>
  </si>
  <si>
    <t>Garbage Rate - 21 currently</t>
  </si>
  <si>
    <t>Consulting Services</t>
  </si>
  <si>
    <t>BUDGET FY 2024-2025</t>
  </si>
  <si>
    <t>2025 Budget</t>
  </si>
  <si>
    <t>2023 Actual</t>
  </si>
  <si>
    <t>2024-2025</t>
  </si>
  <si>
    <t>CITY OF CHESTER FISCAL YEAR BUDGET 2024-2025</t>
  </si>
  <si>
    <t>increase to 27 in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</si>
</sst>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??_);_(@_)"/>
    <numFmt numFmtId="165" formatCode="0.000000"/>
    <numFmt numFmtId="166" formatCode="_(* #,##0.00_);_(* \(#,##0.00\);_(* &quot;-&quot;??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0" fillId="0" borderId="0" xfId="1" applyFont="1"/>
    <xf numFmtId="44" fontId="0" fillId="0" borderId="0" xfId="2" applyFont="1"/>
    <xf numFmtId="43" fontId="3" fillId="0" borderId="0" xfId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4" fontId="5" fillId="0" borderId="0" xfId="2" applyFont="1"/>
    <xf numFmtId="43" fontId="0" fillId="0" borderId="0" xfId="0" applyNumberFormat="1"/>
    <xf numFmtId="43" fontId="0" fillId="0" borderId="0" xfId="1" applyFont="1" applyFill="1"/>
    <xf numFmtId="43" fontId="3" fillId="0" borderId="0" xfId="1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5" fillId="0" borderId="0" xfId="1" applyFont="1"/>
    <xf numFmtId="44" fontId="0" fillId="0" borderId="0" xfId="0" applyNumberFormat="1"/>
    <xf numFmtId="44" fontId="5" fillId="0" borderId="0" xfId="0" applyNumberFormat="1" applyFont="1"/>
    <xf numFmtId="164" fontId="0" fillId="0" borderId="0" xfId="0" applyNumberFormat="1"/>
    <xf numFmtId="165" fontId="0" fillId="0" borderId="0" xfId="0" applyNumberFormat="1"/>
    <xf numFmtId="43" fontId="1" fillId="0" borderId="0" xfId="1" applyFont="1"/>
    <xf numFmtId="44" fontId="0" fillId="0" borderId="0" xfId="2" applyFont="1" applyFill="1"/>
    <xf numFmtId="44" fontId="5" fillId="0" borderId="0" xfId="2" applyFont="1" applyFill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166" fontId="0" fillId="0" borderId="0" xfId="0" applyNumberFormat="1"/>
    <xf numFmtId="10" fontId="5" fillId="0" borderId="0" xfId="3" applyNumberFormat="1" applyFont="1" applyFill="1"/>
    <xf numFmtId="10" fontId="5" fillId="0" borderId="0" xfId="3" applyNumberFormat="1" applyFont="1"/>
    <xf numFmtId="10" fontId="0" fillId="0" borderId="0" xfId="3" applyNumberFormat="1" applyFont="1"/>
    <xf numFmtId="3" fontId="0" fillId="0" borderId="0" xfId="0" applyNumberFormat="1"/>
    <xf numFmtId="0" fontId="0" fillId="2" borderId="0" xfId="0" applyFill="1"/>
    <xf numFmtId="43" fontId="0" fillId="2" borderId="0" xfId="0" applyNumberForma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0836-4939-4ED6-BC84-FE9FEB2A39BA}">
  <sheetPr>
    <pageSetUpPr fitToPage="1"/>
  </sheetPr>
  <dimension ref="A1:R83"/>
  <sheetViews>
    <sheetView tabSelected="1" topLeftCell="A35" workbookViewId="0">
      <selection activeCell="P27" sqref="P27"/>
    </sheetView>
  </sheetViews>
  <sheetFormatPr defaultRowHeight="15" x14ac:dyDescent="0.25"/>
  <cols>
    <col min="6" max="7" width="16.5703125" customWidth="1"/>
    <col min="8" max="8" width="15" bestFit="1" customWidth="1"/>
    <col min="9" max="9" width="15" hidden="1" customWidth="1"/>
    <col min="10" max="10" width="14.140625" customWidth="1"/>
    <col min="11" max="12" width="15" customWidth="1"/>
    <col min="13" max="14" width="14.28515625" bestFit="1" customWidth="1"/>
    <col min="16" max="17" width="10.140625" bestFit="1" customWidth="1"/>
    <col min="18" max="18" width="11.140625" bestFit="1" customWidth="1"/>
  </cols>
  <sheetData>
    <row r="1" spans="1:14" x14ac:dyDescent="0.25">
      <c r="A1" t="s">
        <v>0</v>
      </c>
    </row>
    <row r="2" spans="1:14" x14ac:dyDescent="0.25">
      <c r="A2" t="s">
        <v>200</v>
      </c>
    </row>
    <row r="6" spans="1:14" x14ac:dyDescent="0.25">
      <c r="A6" s="1" t="s">
        <v>1</v>
      </c>
      <c r="I6" s="11" t="s">
        <v>170</v>
      </c>
      <c r="J6" s="11"/>
      <c r="K6" s="11"/>
      <c r="L6" s="11"/>
    </row>
    <row r="7" spans="1:14" x14ac:dyDescent="0.25">
      <c r="A7" s="1"/>
      <c r="F7" s="11" t="s">
        <v>139</v>
      </c>
      <c r="G7" s="11" t="s">
        <v>137</v>
      </c>
      <c r="H7" s="11" t="s">
        <v>156</v>
      </c>
      <c r="I7" s="11" t="s">
        <v>156</v>
      </c>
      <c r="J7" s="11" t="s">
        <v>171</v>
      </c>
      <c r="K7" s="11" t="s">
        <v>186</v>
      </c>
      <c r="L7" s="11" t="s">
        <v>203</v>
      </c>
      <c r="M7" s="22">
        <v>45107</v>
      </c>
      <c r="N7" s="22">
        <v>45350</v>
      </c>
    </row>
    <row r="8" spans="1:14" x14ac:dyDescent="0.25">
      <c r="A8" s="6" t="s">
        <v>46</v>
      </c>
      <c r="B8" s="31" t="s">
        <v>47</v>
      </c>
      <c r="C8" s="31"/>
      <c r="D8" s="31"/>
      <c r="E8" s="6"/>
      <c r="F8" s="12" t="s">
        <v>138</v>
      </c>
      <c r="G8" s="12" t="s">
        <v>138</v>
      </c>
      <c r="H8" s="12" t="s">
        <v>138</v>
      </c>
      <c r="I8" s="12" t="s">
        <v>138</v>
      </c>
      <c r="J8" s="12" t="s">
        <v>138</v>
      </c>
      <c r="K8" s="12" t="s">
        <v>138</v>
      </c>
      <c r="L8" s="12" t="s">
        <v>138</v>
      </c>
      <c r="M8" s="12" t="s">
        <v>167</v>
      </c>
      <c r="N8" s="12" t="s">
        <v>167</v>
      </c>
    </row>
    <row r="9" spans="1:14" x14ac:dyDescent="0.25">
      <c r="A9" s="5">
        <v>41110</v>
      </c>
      <c r="B9" t="s">
        <v>2</v>
      </c>
      <c r="F9" s="3">
        <v>1029300</v>
      </c>
      <c r="G9" s="3">
        <v>1000000</v>
      </c>
      <c r="H9" s="19">
        <v>1000000</v>
      </c>
      <c r="I9" s="19">
        <v>1000000</v>
      </c>
      <c r="J9" s="19">
        <v>1200000</v>
      </c>
      <c r="K9" s="19">
        <v>1200000</v>
      </c>
      <c r="L9" s="19">
        <v>1200000</v>
      </c>
      <c r="M9" s="19">
        <v>1142939</v>
      </c>
      <c r="N9" s="19">
        <v>1186033</v>
      </c>
    </row>
    <row r="10" spans="1:14" x14ac:dyDescent="0.25">
      <c r="A10" s="5">
        <v>41111</v>
      </c>
      <c r="B10" t="s">
        <v>4</v>
      </c>
      <c r="F10" s="2">
        <v>125836</v>
      </c>
      <c r="G10" s="2">
        <v>125000</v>
      </c>
      <c r="H10" s="9">
        <v>112000</v>
      </c>
      <c r="I10" s="9">
        <v>112000</v>
      </c>
      <c r="J10" s="9">
        <v>130000</v>
      </c>
      <c r="K10" s="9">
        <v>130000</v>
      </c>
      <c r="L10" s="9">
        <v>130000</v>
      </c>
      <c r="M10" s="9">
        <f>123378-6571</f>
        <v>116807</v>
      </c>
      <c r="N10" s="9">
        <v>77961</v>
      </c>
    </row>
    <row r="11" spans="1:14" x14ac:dyDescent="0.25">
      <c r="A11" s="5">
        <v>41112</v>
      </c>
      <c r="B11" t="s">
        <v>5</v>
      </c>
      <c r="F11" s="2">
        <v>15000</v>
      </c>
      <c r="G11" s="2">
        <v>7500</v>
      </c>
      <c r="H11" s="9">
        <v>7500</v>
      </c>
      <c r="I11" s="9">
        <v>7500</v>
      </c>
      <c r="J11" s="9">
        <v>7500</v>
      </c>
      <c r="K11" s="9">
        <v>7500</v>
      </c>
      <c r="L11" s="9">
        <v>7500</v>
      </c>
      <c r="M11" s="9">
        <v>0</v>
      </c>
      <c r="N11" s="9">
        <v>0</v>
      </c>
    </row>
    <row r="12" spans="1:14" x14ac:dyDescent="0.25">
      <c r="A12" s="5">
        <v>41120</v>
      </c>
      <c r="B12" t="s">
        <v>6</v>
      </c>
      <c r="F12" s="2">
        <v>145633</v>
      </c>
      <c r="G12" s="2">
        <v>145000</v>
      </c>
      <c r="H12" s="9">
        <v>160000</v>
      </c>
      <c r="I12" s="9">
        <v>160000</v>
      </c>
      <c r="J12" s="9">
        <v>145000</v>
      </c>
      <c r="K12" s="9">
        <v>140000</v>
      </c>
      <c r="L12" s="9">
        <v>145000</v>
      </c>
      <c r="M12" s="9">
        <v>169224</v>
      </c>
      <c r="N12" s="9">
        <v>99660</v>
      </c>
    </row>
    <row r="13" spans="1:14" x14ac:dyDescent="0.25">
      <c r="A13" s="5">
        <v>41200</v>
      </c>
      <c r="B13" t="s">
        <v>7</v>
      </c>
      <c r="F13" s="2">
        <v>21223</v>
      </c>
      <c r="G13" s="2">
        <v>21200</v>
      </c>
      <c r="H13" s="9">
        <v>25000</v>
      </c>
      <c r="I13" s="9">
        <v>25000</v>
      </c>
      <c r="J13" s="9">
        <v>25000</v>
      </c>
      <c r="K13" s="9">
        <v>25000</v>
      </c>
      <c r="L13" s="9">
        <v>25000</v>
      </c>
      <c r="M13" s="9">
        <v>38918</v>
      </c>
      <c r="N13" s="9">
        <v>11347</v>
      </c>
    </row>
    <row r="14" spans="1:14" x14ac:dyDescent="0.25">
      <c r="A14" s="5">
        <v>41300</v>
      </c>
      <c r="B14" t="s">
        <v>8</v>
      </c>
      <c r="F14" s="2">
        <v>35574</v>
      </c>
      <c r="G14" s="2">
        <v>35500</v>
      </c>
      <c r="H14" s="9">
        <v>35500</v>
      </c>
      <c r="I14" s="9">
        <v>35500</v>
      </c>
      <c r="J14" s="9">
        <v>30000</v>
      </c>
      <c r="K14" s="9">
        <v>30000</v>
      </c>
      <c r="L14" s="9">
        <v>30000</v>
      </c>
      <c r="M14" s="9">
        <v>36160</v>
      </c>
      <c r="N14" s="9">
        <v>3395</v>
      </c>
    </row>
    <row r="15" spans="1:14" x14ac:dyDescent="0.25">
      <c r="A15" s="5">
        <v>41400</v>
      </c>
      <c r="B15" t="s">
        <v>9</v>
      </c>
      <c r="F15" s="2">
        <v>23957</v>
      </c>
      <c r="G15" s="2">
        <v>23500</v>
      </c>
      <c r="H15" s="9">
        <v>23500</v>
      </c>
      <c r="I15" s="9">
        <v>23500</v>
      </c>
      <c r="J15" s="9">
        <v>20000</v>
      </c>
      <c r="K15" s="9">
        <v>20000</v>
      </c>
      <c r="L15" s="9">
        <v>20000</v>
      </c>
      <c r="M15" s="9">
        <v>3</v>
      </c>
      <c r="N15" s="9">
        <v>0</v>
      </c>
    </row>
    <row r="16" spans="1:14" x14ac:dyDescent="0.25">
      <c r="A16" s="5">
        <v>41500</v>
      </c>
      <c r="B16" t="s">
        <v>10</v>
      </c>
      <c r="F16" s="2">
        <v>571327</v>
      </c>
      <c r="G16" s="2">
        <v>575000</v>
      </c>
      <c r="H16" s="9">
        <v>575000</v>
      </c>
      <c r="I16" s="9">
        <v>575000</v>
      </c>
      <c r="J16" s="9">
        <v>600000</v>
      </c>
      <c r="K16" s="9">
        <v>600000</v>
      </c>
      <c r="L16" s="9">
        <v>600000</v>
      </c>
      <c r="M16" s="9">
        <v>631583</v>
      </c>
      <c r="N16" s="9">
        <v>145944</v>
      </c>
    </row>
    <row r="17" spans="1:18" x14ac:dyDescent="0.25">
      <c r="A17" s="5">
        <v>42110</v>
      </c>
      <c r="B17" t="s">
        <v>11</v>
      </c>
      <c r="F17" s="2">
        <v>153448</v>
      </c>
      <c r="G17" s="2">
        <v>230000</v>
      </c>
      <c r="H17" s="9">
        <v>200000</v>
      </c>
      <c r="I17" s="9">
        <v>200000</v>
      </c>
      <c r="J17" s="9">
        <v>225000</v>
      </c>
      <c r="K17" s="9">
        <v>225000</v>
      </c>
      <c r="L17" s="9">
        <v>225000</v>
      </c>
      <c r="M17" s="9">
        <v>220702</v>
      </c>
      <c r="N17" s="9">
        <v>52922</v>
      </c>
    </row>
    <row r="18" spans="1:18" x14ac:dyDescent="0.25">
      <c r="A18" s="5">
        <v>42112</v>
      </c>
      <c r="B18" t="s">
        <v>12</v>
      </c>
      <c r="F18" s="2">
        <v>309357</v>
      </c>
      <c r="G18" s="2">
        <v>285000</v>
      </c>
      <c r="H18" s="9">
        <v>285000</v>
      </c>
      <c r="I18" s="9">
        <v>285000</v>
      </c>
      <c r="J18" s="9">
        <v>255000</v>
      </c>
      <c r="K18" s="9">
        <v>255000</v>
      </c>
      <c r="L18" s="9">
        <v>275000</v>
      </c>
      <c r="M18" s="9">
        <v>296925</v>
      </c>
      <c r="N18" s="9">
        <v>194516</v>
      </c>
    </row>
    <row r="19" spans="1:18" x14ac:dyDescent="0.25">
      <c r="A19" s="5">
        <v>42130</v>
      </c>
      <c r="B19" t="s">
        <v>13</v>
      </c>
      <c r="F19" s="2">
        <v>0</v>
      </c>
      <c r="G19" s="2">
        <v>105000</v>
      </c>
      <c r="H19" s="9">
        <v>75000</v>
      </c>
      <c r="I19" s="9">
        <v>75000</v>
      </c>
      <c r="J19" s="9">
        <v>50000</v>
      </c>
      <c r="K19" s="9">
        <v>50000</v>
      </c>
      <c r="L19" s="9">
        <v>50000</v>
      </c>
      <c r="M19" s="9">
        <v>58224</v>
      </c>
      <c r="N19" s="9">
        <v>15937</v>
      </c>
    </row>
    <row r="20" spans="1:18" x14ac:dyDescent="0.25">
      <c r="A20" s="5">
        <v>42135</v>
      </c>
      <c r="B20" t="s">
        <v>14</v>
      </c>
      <c r="F20" s="2">
        <v>1000</v>
      </c>
      <c r="G20" s="2">
        <v>1000</v>
      </c>
      <c r="H20" s="9">
        <v>1000</v>
      </c>
      <c r="I20" s="9">
        <v>1000</v>
      </c>
      <c r="J20" s="9">
        <v>1000</v>
      </c>
      <c r="K20" s="9">
        <v>1000</v>
      </c>
      <c r="L20" s="9">
        <v>500</v>
      </c>
      <c r="M20" s="9">
        <v>46</v>
      </c>
      <c r="N20" s="9">
        <v>152</v>
      </c>
    </row>
    <row r="21" spans="1:18" x14ac:dyDescent="0.25">
      <c r="A21" s="5">
        <v>42189</v>
      </c>
      <c r="B21" t="s">
        <v>15</v>
      </c>
      <c r="F21" s="2">
        <v>484812</v>
      </c>
      <c r="G21" s="2">
        <v>450000</v>
      </c>
      <c r="H21" s="9">
        <v>485900</v>
      </c>
      <c r="I21" s="9">
        <v>485900</v>
      </c>
      <c r="J21" s="9">
        <v>440000</v>
      </c>
      <c r="K21" s="9">
        <v>490000</v>
      </c>
      <c r="L21" s="9">
        <v>490000</v>
      </c>
      <c r="M21" s="9">
        <v>408327</v>
      </c>
      <c r="N21" s="9">
        <v>293215</v>
      </c>
      <c r="O21" s="29" t="s">
        <v>198</v>
      </c>
      <c r="P21" s="30"/>
      <c r="Q21" s="29"/>
    </row>
    <row r="22" spans="1:18" x14ac:dyDescent="0.25">
      <c r="A22" s="5">
        <v>43500</v>
      </c>
      <c r="B22" t="s">
        <v>16</v>
      </c>
      <c r="F22" s="2">
        <v>132900</v>
      </c>
      <c r="G22" s="2">
        <v>130000</v>
      </c>
      <c r="H22" s="9">
        <v>130000</v>
      </c>
      <c r="I22" s="9">
        <v>130000</v>
      </c>
      <c r="J22" s="9">
        <v>100000</v>
      </c>
      <c r="K22" s="9">
        <v>100000</v>
      </c>
      <c r="L22" s="9">
        <v>125000</v>
      </c>
      <c r="M22" s="9">
        <v>125224</v>
      </c>
      <c r="N22" s="9">
        <v>322933</v>
      </c>
      <c r="O22" s="30" t="s">
        <v>205</v>
      </c>
      <c r="P22" s="30"/>
      <c r="Q22" s="29"/>
      <c r="R22" s="8"/>
    </row>
    <row r="23" spans="1:18" x14ac:dyDescent="0.25">
      <c r="A23" s="5">
        <v>43501</v>
      </c>
      <c r="B23" t="s">
        <v>17</v>
      </c>
      <c r="F23" s="2">
        <v>197175</v>
      </c>
      <c r="G23" s="2">
        <v>205000</v>
      </c>
      <c r="H23" s="9">
        <v>205000</v>
      </c>
      <c r="I23" s="9">
        <v>205000</v>
      </c>
      <c r="J23" s="9">
        <v>205000</v>
      </c>
      <c r="K23" s="9">
        <v>210000</v>
      </c>
      <c r="L23" s="9">
        <v>210000</v>
      </c>
      <c r="M23" s="9">
        <v>213834</v>
      </c>
      <c r="N23" s="9">
        <v>0</v>
      </c>
    </row>
    <row r="24" spans="1:18" x14ac:dyDescent="0.25">
      <c r="A24" s="5">
        <v>43502</v>
      </c>
      <c r="B24" t="s">
        <v>18</v>
      </c>
      <c r="F24" s="2">
        <v>35000</v>
      </c>
      <c r="G24" s="2">
        <v>35000</v>
      </c>
      <c r="H24" s="9">
        <v>35000</v>
      </c>
      <c r="I24" s="9">
        <v>35000</v>
      </c>
      <c r="J24" s="9">
        <v>30000</v>
      </c>
      <c r="K24" s="9">
        <v>30000</v>
      </c>
      <c r="L24" s="9">
        <v>30000</v>
      </c>
      <c r="M24" s="9">
        <v>26676</v>
      </c>
      <c r="N24" s="9">
        <v>0</v>
      </c>
    </row>
    <row r="25" spans="1:18" x14ac:dyDescent="0.25">
      <c r="A25" s="5">
        <v>43503</v>
      </c>
      <c r="B25" t="s">
        <v>19</v>
      </c>
      <c r="F25" s="2">
        <v>35000</v>
      </c>
      <c r="G25" s="2">
        <v>30000</v>
      </c>
      <c r="H25" s="9">
        <v>30000</v>
      </c>
      <c r="I25" s="9">
        <v>30000</v>
      </c>
      <c r="J25" s="9">
        <v>25000</v>
      </c>
      <c r="K25" s="9">
        <v>25000</v>
      </c>
      <c r="L25" s="9">
        <v>25000</v>
      </c>
      <c r="M25" s="9">
        <v>12226</v>
      </c>
      <c r="N25" s="9">
        <v>11414</v>
      </c>
    </row>
    <row r="26" spans="1:18" x14ac:dyDescent="0.25">
      <c r="A26" s="5">
        <v>43504</v>
      </c>
      <c r="B26" t="s">
        <v>20</v>
      </c>
      <c r="F26" s="2">
        <v>671</v>
      </c>
      <c r="G26" s="2">
        <v>1000</v>
      </c>
      <c r="H26" s="9">
        <v>1000</v>
      </c>
      <c r="I26" s="9">
        <v>1000</v>
      </c>
      <c r="J26" s="9">
        <v>1000</v>
      </c>
      <c r="K26" s="9">
        <v>0</v>
      </c>
      <c r="L26" s="9">
        <v>0</v>
      </c>
      <c r="M26" s="9">
        <v>17904</v>
      </c>
      <c r="N26" s="9">
        <v>0</v>
      </c>
    </row>
    <row r="27" spans="1:18" x14ac:dyDescent="0.25">
      <c r="A27" s="5">
        <v>43530</v>
      </c>
      <c r="B27" t="s">
        <v>21</v>
      </c>
      <c r="F27" s="2">
        <v>310520</v>
      </c>
      <c r="G27" s="2">
        <v>310520</v>
      </c>
      <c r="H27" s="9">
        <v>310500</v>
      </c>
      <c r="I27" s="9">
        <v>310500</v>
      </c>
      <c r="J27" s="9">
        <v>370000</v>
      </c>
      <c r="K27" s="9">
        <v>370000</v>
      </c>
      <c r="L27" s="9">
        <v>370000</v>
      </c>
      <c r="M27" s="8">
        <v>350669</v>
      </c>
      <c r="N27" s="9">
        <v>241276</v>
      </c>
    </row>
    <row r="28" spans="1:18" x14ac:dyDescent="0.25">
      <c r="A28" s="5">
        <v>43531</v>
      </c>
      <c r="B28" t="s">
        <v>22</v>
      </c>
      <c r="F28" s="2">
        <v>554784</v>
      </c>
      <c r="G28" s="2">
        <v>554500</v>
      </c>
      <c r="H28" s="9">
        <v>580000</v>
      </c>
      <c r="I28" s="9">
        <v>580000</v>
      </c>
      <c r="J28" s="9">
        <v>735000</v>
      </c>
      <c r="K28" s="9">
        <v>735000</v>
      </c>
      <c r="L28" s="9">
        <v>750000</v>
      </c>
      <c r="M28" s="8">
        <v>900502</v>
      </c>
      <c r="N28" s="9">
        <v>450345</v>
      </c>
    </row>
    <row r="29" spans="1:18" x14ac:dyDescent="0.25">
      <c r="A29" s="5">
        <v>44003</v>
      </c>
      <c r="B29" t="s">
        <v>131</v>
      </c>
      <c r="F29" s="2">
        <v>75000</v>
      </c>
      <c r="G29" s="2">
        <f>75000+125000</f>
        <v>200000</v>
      </c>
      <c r="H29" s="9">
        <v>383000</v>
      </c>
      <c r="I29" s="9">
        <v>383000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</row>
    <row r="30" spans="1:18" x14ac:dyDescent="0.25">
      <c r="A30" s="5">
        <v>44220</v>
      </c>
      <c r="B30" t="s">
        <v>23</v>
      </c>
      <c r="E30" s="17"/>
      <c r="F30" s="2">
        <v>1822000</v>
      </c>
      <c r="G30" s="2">
        <v>1938314</v>
      </c>
      <c r="H30" s="9">
        <v>1911790</v>
      </c>
      <c r="I30" s="9">
        <v>1911790</v>
      </c>
      <c r="J30" s="9">
        <v>1939940</v>
      </c>
      <c r="K30" s="9">
        <v>2070734</v>
      </c>
      <c r="L30" s="9">
        <v>2070750</v>
      </c>
      <c r="M30" s="8">
        <v>1956103</v>
      </c>
      <c r="N30" s="9">
        <v>717000</v>
      </c>
    </row>
    <row r="31" spans="1:18" x14ac:dyDescent="0.25">
      <c r="A31" s="5">
        <v>44225</v>
      </c>
      <c r="B31" t="s">
        <v>24</v>
      </c>
      <c r="E31" s="17"/>
      <c r="F31" s="2">
        <v>61948</v>
      </c>
      <c r="G31" s="2">
        <v>65902</v>
      </c>
      <c r="H31" s="9">
        <v>65000</v>
      </c>
      <c r="I31" s="9">
        <v>65000</v>
      </c>
      <c r="J31" s="9">
        <v>65957.960000000006</v>
      </c>
      <c r="K31" s="9">
        <v>70405</v>
      </c>
      <c r="L31" s="9">
        <v>70400</v>
      </c>
      <c r="M31" s="8">
        <v>49795</v>
      </c>
      <c r="N31" s="9">
        <v>0</v>
      </c>
    </row>
    <row r="32" spans="1:18" x14ac:dyDescent="0.25">
      <c r="A32" s="5">
        <v>44300</v>
      </c>
      <c r="B32" t="s">
        <v>25</v>
      </c>
      <c r="F32" s="2">
        <v>1500</v>
      </c>
      <c r="G32" s="2">
        <v>1500</v>
      </c>
      <c r="H32" s="9">
        <v>1500</v>
      </c>
      <c r="I32" s="9">
        <v>1500</v>
      </c>
      <c r="J32" s="9">
        <v>1500</v>
      </c>
      <c r="K32" s="9">
        <v>1500</v>
      </c>
      <c r="L32" s="9">
        <v>1500</v>
      </c>
      <c r="M32" s="8">
        <v>2425</v>
      </c>
      <c r="N32" s="9">
        <v>1195</v>
      </c>
    </row>
    <row r="33" spans="1:14" x14ac:dyDescent="0.25">
      <c r="A33" s="5">
        <v>44310</v>
      </c>
      <c r="B33" t="s">
        <v>26</v>
      </c>
      <c r="F33" s="2">
        <v>400</v>
      </c>
      <c r="G33" s="2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8">
        <v>681</v>
      </c>
      <c r="N33" s="9">
        <v>760</v>
      </c>
    </row>
    <row r="34" spans="1:14" x14ac:dyDescent="0.25">
      <c r="A34" s="5">
        <v>44320</v>
      </c>
      <c r="B34" t="s">
        <v>27</v>
      </c>
      <c r="F34" s="2">
        <v>17880</v>
      </c>
      <c r="G34" s="2">
        <v>17800</v>
      </c>
      <c r="H34" s="9">
        <v>17800</v>
      </c>
      <c r="I34" s="9">
        <v>17800</v>
      </c>
      <c r="J34" s="9">
        <v>12000</v>
      </c>
      <c r="K34" s="9">
        <v>12000</v>
      </c>
      <c r="L34" s="9">
        <v>12000</v>
      </c>
      <c r="M34" s="8">
        <v>18358</v>
      </c>
      <c r="N34" s="9">
        <v>7550</v>
      </c>
    </row>
    <row r="35" spans="1:14" x14ac:dyDescent="0.25">
      <c r="A35" s="5">
        <v>44330</v>
      </c>
      <c r="B35" t="s">
        <v>28</v>
      </c>
      <c r="F35" s="2">
        <v>2050</v>
      </c>
      <c r="G35" s="2">
        <v>2500</v>
      </c>
      <c r="H35" s="9">
        <v>2500</v>
      </c>
      <c r="I35" s="9">
        <v>2500</v>
      </c>
      <c r="J35" s="9">
        <v>2500</v>
      </c>
      <c r="K35" s="9">
        <v>2500</v>
      </c>
      <c r="L35" s="9">
        <v>2500</v>
      </c>
      <c r="M35" s="8">
        <v>785</v>
      </c>
      <c r="N35" s="9">
        <v>104</v>
      </c>
    </row>
    <row r="36" spans="1:14" x14ac:dyDescent="0.25">
      <c r="A36" s="5">
        <v>44400</v>
      </c>
      <c r="B36" t="s">
        <v>29</v>
      </c>
      <c r="F36" s="2">
        <v>3825</v>
      </c>
      <c r="G36" s="2">
        <v>3825</v>
      </c>
      <c r="H36" s="9">
        <v>3825</v>
      </c>
      <c r="I36" s="9">
        <v>3825</v>
      </c>
      <c r="J36" s="9">
        <v>3500</v>
      </c>
      <c r="K36" s="9">
        <v>3500</v>
      </c>
      <c r="L36" s="9">
        <v>0</v>
      </c>
      <c r="M36" s="8">
        <v>0</v>
      </c>
      <c r="N36" s="9">
        <v>0</v>
      </c>
    </row>
    <row r="37" spans="1:14" x14ac:dyDescent="0.25">
      <c r="A37" s="5">
        <v>44415</v>
      </c>
      <c r="B37" t="s">
        <v>30</v>
      </c>
      <c r="F37" s="2">
        <v>630</v>
      </c>
      <c r="G37" s="2">
        <v>525</v>
      </c>
      <c r="H37" s="9">
        <v>525</v>
      </c>
      <c r="I37" s="9">
        <v>525</v>
      </c>
      <c r="J37" s="9">
        <v>500</v>
      </c>
      <c r="K37" s="9">
        <v>500</v>
      </c>
      <c r="L37" s="9">
        <v>0</v>
      </c>
      <c r="M37" s="8">
        <v>0</v>
      </c>
      <c r="N37" s="9">
        <v>0</v>
      </c>
    </row>
    <row r="38" spans="1:14" x14ac:dyDescent="0.25">
      <c r="A38" s="5">
        <v>44416</v>
      </c>
      <c r="B38" t="s">
        <v>31</v>
      </c>
      <c r="F38" s="2">
        <v>500</v>
      </c>
      <c r="G38" s="2">
        <v>500</v>
      </c>
      <c r="H38" s="9">
        <v>500</v>
      </c>
      <c r="I38" s="9">
        <v>500</v>
      </c>
      <c r="J38" s="9">
        <v>500</v>
      </c>
      <c r="K38" s="9">
        <v>500</v>
      </c>
      <c r="L38" s="9">
        <v>0</v>
      </c>
      <c r="M38" s="8">
        <v>0</v>
      </c>
      <c r="N38" s="9">
        <v>0</v>
      </c>
    </row>
    <row r="39" spans="1:14" x14ac:dyDescent="0.25">
      <c r="A39" s="5">
        <v>44420</v>
      </c>
      <c r="B39" t="s">
        <v>32</v>
      </c>
      <c r="F39" s="2">
        <v>5000</v>
      </c>
      <c r="G39" s="2">
        <v>1500</v>
      </c>
      <c r="H39" s="9">
        <v>1500</v>
      </c>
      <c r="I39" s="9">
        <v>1500</v>
      </c>
      <c r="J39" s="9">
        <v>1500</v>
      </c>
      <c r="K39" s="9">
        <v>1500</v>
      </c>
      <c r="L39" s="9">
        <v>0</v>
      </c>
      <c r="M39" s="8">
        <v>0</v>
      </c>
      <c r="N39" s="9">
        <v>0</v>
      </c>
    </row>
    <row r="40" spans="1:14" x14ac:dyDescent="0.25">
      <c r="A40" s="5">
        <v>44500</v>
      </c>
      <c r="B40" t="s">
        <v>33</v>
      </c>
      <c r="F40" s="2">
        <v>1160</v>
      </c>
      <c r="G40" s="2">
        <v>1000</v>
      </c>
      <c r="H40" s="9">
        <v>1000</v>
      </c>
      <c r="I40" s="9">
        <v>1000</v>
      </c>
      <c r="J40" s="9">
        <v>1000</v>
      </c>
      <c r="K40" s="9">
        <v>1000</v>
      </c>
      <c r="L40" s="9">
        <v>1000</v>
      </c>
      <c r="M40" s="8">
        <v>1637</v>
      </c>
      <c r="N40" s="8">
        <v>140</v>
      </c>
    </row>
    <row r="41" spans="1:14" x14ac:dyDescent="0.25">
      <c r="A41" s="5">
        <v>44510</v>
      </c>
      <c r="B41" t="s">
        <v>34</v>
      </c>
      <c r="F41" s="2">
        <v>19305</v>
      </c>
      <c r="G41" s="2">
        <v>13500</v>
      </c>
      <c r="H41" s="9">
        <v>30000</v>
      </c>
      <c r="I41" s="9">
        <v>30000</v>
      </c>
      <c r="J41" s="9">
        <v>30000</v>
      </c>
      <c r="K41" s="9">
        <v>30000</v>
      </c>
      <c r="L41" s="9">
        <v>30000</v>
      </c>
      <c r="M41" s="8">
        <v>14144</v>
      </c>
      <c r="N41" s="8">
        <v>12373</v>
      </c>
    </row>
    <row r="42" spans="1:14" x14ac:dyDescent="0.25">
      <c r="A42" s="5">
        <v>44700</v>
      </c>
      <c r="B42" t="s">
        <v>35</v>
      </c>
      <c r="F42" s="2">
        <v>400</v>
      </c>
      <c r="G42" s="2">
        <v>400</v>
      </c>
      <c r="H42" s="9">
        <v>400</v>
      </c>
      <c r="I42" s="9">
        <v>400</v>
      </c>
      <c r="J42" s="9">
        <v>400</v>
      </c>
      <c r="K42" s="9">
        <v>400</v>
      </c>
      <c r="L42" s="9">
        <v>0</v>
      </c>
      <c r="M42" s="8">
        <v>0</v>
      </c>
      <c r="N42" s="8">
        <v>0</v>
      </c>
    </row>
    <row r="43" spans="1:14" x14ac:dyDescent="0.25">
      <c r="A43" s="5">
        <v>44701</v>
      </c>
      <c r="B43" t="s">
        <v>36</v>
      </c>
      <c r="F43" s="2">
        <v>5000</v>
      </c>
      <c r="G43" s="2">
        <v>5000</v>
      </c>
      <c r="H43" s="9">
        <v>5000</v>
      </c>
      <c r="I43" s="9">
        <v>5000</v>
      </c>
      <c r="J43" s="9">
        <v>5000</v>
      </c>
      <c r="K43" s="9">
        <v>5000</v>
      </c>
      <c r="L43" s="9">
        <v>0</v>
      </c>
      <c r="M43" s="8">
        <v>0</v>
      </c>
      <c r="N43" s="8">
        <v>0</v>
      </c>
    </row>
    <row r="44" spans="1:14" x14ac:dyDescent="0.25">
      <c r="A44" s="5">
        <v>44703</v>
      </c>
      <c r="B44" t="s">
        <v>37</v>
      </c>
      <c r="F44" s="2">
        <v>3000</v>
      </c>
      <c r="G44" s="2">
        <v>9000</v>
      </c>
      <c r="H44" s="9">
        <v>9000</v>
      </c>
      <c r="I44" s="9">
        <v>9000</v>
      </c>
      <c r="J44" s="9">
        <v>9000</v>
      </c>
      <c r="K44" s="9">
        <v>9000</v>
      </c>
      <c r="L44" s="9">
        <v>9000</v>
      </c>
      <c r="M44" s="8">
        <v>2222</v>
      </c>
      <c r="N44" s="8">
        <v>2400</v>
      </c>
    </row>
    <row r="45" spans="1:14" x14ac:dyDescent="0.25">
      <c r="A45" s="5">
        <v>44704</v>
      </c>
      <c r="B45" t="s">
        <v>38</v>
      </c>
      <c r="F45" s="2">
        <v>5500</v>
      </c>
      <c r="G45" s="2">
        <v>3800</v>
      </c>
      <c r="H45" s="9">
        <v>3800</v>
      </c>
      <c r="I45" s="9">
        <v>3800</v>
      </c>
      <c r="J45" s="9">
        <v>3800</v>
      </c>
      <c r="K45" s="9">
        <v>3800</v>
      </c>
      <c r="L45" s="9">
        <v>10000</v>
      </c>
      <c r="M45" s="8">
        <v>7350</v>
      </c>
      <c r="N45" s="8">
        <v>9953</v>
      </c>
    </row>
    <row r="46" spans="1:14" x14ac:dyDescent="0.25">
      <c r="A46" s="5">
        <v>44707</v>
      </c>
      <c r="B46" t="s">
        <v>39</v>
      </c>
      <c r="F46" s="2">
        <v>650</v>
      </c>
      <c r="G46" s="2">
        <v>650</v>
      </c>
      <c r="H46" s="9">
        <v>650</v>
      </c>
      <c r="I46" s="9">
        <v>650</v>
      </c>
      <c r="J46" s="9">
        <v>650</v>
      </c>
      <c r="K46" s="9">
        <v>650</v>
      </c>
      <c r="L46" s="9">
        <v>0</v>
      </c>
      <c r="M46" s="8">
        <v>0</v>
      </c>
      <c r="N46" s="8">
        <v>0</v>
      </c>
    </row>
    <row r="47" spans="1:14" x14ac:dyDescent="0.25">
      <c r="A47" s="5">
        <v>44709</v>
      </c>
      <c r="B47" t="s">
        <v>40</v>
      </c>
      <c r="F47" s="2">
        <v>1500</v>
      </c>
      <c r="G47" s="2">
        <v>4000</v>
      </c>
      <c r="H47" s="9">
        <v>4000</v>
      </c>
      <c r="I47" s="9">
        <v>4000</v>
      </c>
      <c r="J47" s="9">
        <v>4000</v>
      </c>
      <c r="K47" s="9">
        <v>4000</v>
      </c>
      <c r="L47" s="9">
        <v>0</v>
      </c>
      <c r="M47" s="8">
        <v>0</v>
      </c>
      <c r="N47" s="8">
        <v>0</v>
      </c>
    </row>
    <row r="48" spans="1:14" x14ac:dyDescent="0.25">
      <c r="A48" s="5">
        <v>44710</v>
      </c>
      <c r="B48" t="s">
        <v>192</v>
      </c>
      <c r="F48" s="2">
        <v>0</v>
      </c>
      <c r="G48" s="2">
        <v>0</v>
      </c>
      <c r="H48" s="9">
        <v>0</v>
      </c>
      <c r="I48" s="9"/>
      <c r="J48" s="9">
        <v>0</v>
      </c>
      <c r="K48" s="9">
        <v>0</v>
      </c>
      <c r="L48" s="9">
        <v>5000</v>
      </c>
      <c r="M48" s="8">
        <v>19544</v>
      </c>
      <c r="N48" s="2">
        <v>1765</v>
      </c>
    </row>
    <row r="49" spans="1:14" x14ac:dyDescent="0.25">
      <c r="A49" s="5">
        <v>44711</v>
      </c>
      <c r="B49" t="s">
        <v>41</v>
      </c>
      <c r="F49" s="2">
        <v>13302</v>
      </c>
      <c r="G49" s="2">
        <v>13200</v>
      </c>
      <c r="H49" s="9">
        <v>13200</v>
      </c>
      <c r="I49" s="9">
        <v>13200</v>
      </c>
      <c r="J49" s="9">
        <v>13200</v>
      </c>
      <c r="K49" s="9">
        <v>20000</v>
      </c>
      <c r="L49" s="9">
        <v>30000</v>
      </c>
      <c r="M49" s="8">
        <v>22325</v>
      </c>
      <c r="N49" s="2">
        <v>43992</v>
      </c>
    </row>
    <row r="50" spans="1:14" x14ac:dyDescent="0.25">
      <c r="A50" s="5">
        <v>44715</v>
      </c>
      <c r="B50" t="s">
        <v>193</v>
      </c>
      <c r="F50" s="2">
        <v>0</v>
      </c>
      <c r="G50" s="2">
        <v>0</v>
      </c>
      <c r="H50" s="9">
        <v>0</v>
      </c>
      <c r="I50" s="9"/>
      <c r="J50" s="9">
        <v>0</v>
      </c>
      <c r="K50" s="9">
        <v>0</v>
      </c>
      <c r="L50" s="9">
        <v>0</v>
      </c>
      <c r="M50" s="8">
        <v>3695</v>
      </c>
      <c r="N50" s="2">
        <v>240</v>
      </c>
    </row>
    <row r="51" spans="1:14" x14ac:dyDescent="0.25">
      <c r="A51" s="5">
        <v>46110</v>
      </c>
      <c r="B51" t="s">
        <v>42</v>
      </c>
      <c r="F51" s="2">
        <v>700</v>
      </c>
      <c r="G51" s="2">
        <v>700</v>
      </c>
      <c r="H51" s="9">
        <v>700</v>
      </c>
      <c r="I51" s="9">
        <v>700</v>
      </c>
      <c r="J51" s="9">
        <v>100</v>
      </c>
      <c r="K51" s="9">
        <v>100</v>
      </c>
      <c r="L51" s="9">
        <v>100</v>
      </c>
      <c r="M51" s="8">
        <v>875</v>
      </c>
      <c r="N51" s="2">
        <v>26</v>
      </c>
    </row>
    <row r="52" spans="1:14" x14ac:dyDescent="0.25">
      <c r="A52" s="5">
        <v>46200</v>
      </c>
      <c r="B52" t="s">
        <v>43</v>
      </c>
      <c r="F52" s="2">
        <v>5000</v>
      </c>
      <c r="G52" s="2">
        <v>5000</v>
      </c>
      <c r="H52" s="9">
        <v>5000</v>
      </c>
      <c r="I52" s="9">
        <v>5000</v>
      </c>
      <c r="J52" s="9">
        <v>5000</v>
      </c>
      <c r="K52" s="9">
        <v>5000</v>
      </c>
      <c r="L52" s="9">
        <v>5000</v>
      </c>
      <c r="M52" s="8">
        <v>5000</v>
      </c>
      <c r="N52" s="2">
        <v>7500</v>
      </c>
    </row>
    <row r="53" spans="1:14" x14ac:dyDescent="0.25">
      <c r="A53" s="5">
        <v>46210</v>
      </c>
      <c r="B53" t="s">
        <v>44</v>
      </c>
      <c r="F53" s="2">
        <v>43359.69</v>
      </c>
      <c r="G53" s="2">
        <v>15000</v>
      </c>
      <c r="H53" s="9">
        <v>15000</v>
      </c>
      <c r="I53" s="9">
        <v>15000</v>
      </c>
      <c r="J53" s="9">
        <f>10610+1022.04+9000</f>
        <v>20632.04</v>
      </c>
      <c r="K53" s="9">
        <v>20000</v>
      </c>
      <c r="L53" s="9">
        <v>20000</v>
      </c>
      <c r="M53" s="8">
        <f>28355+38072+11800</f>
        <v>78227</v>
      </c>
      <c r="N53" s="2">
        <f>41392+3600</f>
        <v>44992</v>
      </c>
    </row>
    <row r="54" spans="1:14" x14ac:dyDescent="0.25">
      <c r="A54" s="5"/>
      <c r="B54" t="s">
        <v>169</v>
      </c>
      <c r="F54" s="2">
        <v>0</v>
      </c>
      <c r="G54" s="2">
        <v>750000</v>
      </c>
      <c r="H54" s="9">
        <v>0</v>
      </c>
      <c r="I54" s="9">
        <v>100000</v>
      </c>
      <c r="J54" s="9">
        <v>0</v>
      </c>
      <c r="K54" s="9">
        <v>0</v>
      </c>
      <c r="L54" s="9">
        <v>0</v>
      </c>
      <c r="M54" s="8">
        <v>0</v>
      </c>
      <c r="N54" s="2">
        <v>0</v>
      </c>
    </row>
    <row r="55" spans="1:14" x14ac:dyDescent="0.25">
      <c r="A55" s="5"/>
      <c r="B55" t="s">
        <v>155</v>
      </c>
      <c r="F55" s="2"/>
      <c r="G55" s="2">
        <v>154498</v>
      </c>
      <c r="H55" s="9">
        <v>0</v>
      </c>
      <c r="I55" s="9">
        <v>92770</v>
      </c>
      <c r="J55" s="9">
        <v>0</v>
      </c>
      <c r="K55" s="9">
        <v>0</v>
      </c>
      <c r="L55" s="9">
        <v>0</v>
      </c>
      <c r="M55" s="8">
        <v>0</v>
      </c>
      <c r="N55" s="2">
        <v>0</v>
      </c>
    </row>
    <row r="56" spans="1:14" x14ac:dyDescent="0.25">
      <c r="A56" s="5">
        <v>49300</v>
      </c>
      <c r="B56" t="s">
        <v>45</v>
      </c>
      <c r="F56" s="2">
        <v>1100</v>
      </c>
      <c r="G56" s="2">
        <v>1100</v>
      </c>
      <c r="H56" s="9">
        <v>1100</v>
      </c>
      <c r="I56" s="9">
        <v>1100</v>
      </c>
      <c r="J56" s="9">
        <v>2500</v>
      </c>
      <c r="K56" s="9">
        <v>2500</v>
      </c>
      <c r="L56" s="9">
        <v>2500</v>
      </c>
      <c r="M56" s="8">
        <v>4325</v>
      </c>
      <c r="N56" s="8">
        <v>330</v>
      </c>
    </row>
    <row r="57" spans="1:14" x14ac:dyDescent="0.25">
      <c r="A57" s="5"/>
      <c r="B57" s="32" t="s">
        <v>160</v>
      </c>
      <c r="C57" s="32"/>
      <c r="D57" s="32"/>
      <c r="E57" s="32"/>
      <c r="F57" s="2"/>
      <c r="G57" s="2"/>
      <c r="H57" s="9"/>
      <c r="I57" s="9"/>
      <c r="J57" s="9"/>
      <c r="K57" s="9"/>
      <c r="L57" s="9"/>
    </row>
    <row r="58" spans="1:14" x14ac:dyDescent="0.25">
      <c r="A58" s="5"/>
      <c r="B58" t="s">
        <v>161</v>
      </c>
      <c r="F58" s="2"/>
      <c r="G58" s="2"/>
      <c r="H58" s="9">
        <v>50000</v>
      </c>
      <c r="I58" s="9">
        <v>50000</v>
      </c>
      <c r="J58" s="9">
        <v>0</v>
      </c>
      <c r="K58" s="9"/>
      <c r="L58" s="9"/>
    </row>
    <row r="59" spans="1:14" x14ac:dyDescent="0.25">
      <c r="A59" s="5"/>
      <c r="B59" t="s">
        <v>45</v>
      </c>
      <c r="F59" s="2"/>
      <c r="G59" s="2"/>
      <c r="H59" s="9">
        <v>500</v>
      </c>
      <c r="I59" s="9">
        <v>500</v>
      </c>
      <c r="J59" s="9">
        <v>0</v>
      </c>
      <c r="K59" s="9"/>
      <c r="L59" s="9"/>
    </row>
    <row r="60" spans="1:14" x14ac:dyDescent="0.25">
      <c r="A60" s="5"/>
      <c r="B60" t="s">
        <v>162</v>
      </c>
      <c r="F60" s="2"/>
      <c r="G60" s="2"/>
      <c r="H60" s="9">
        <v>18000</v>
      </c>
      <c r="I60" s="9">
        <v>18000</v>
      </c>
      <c r="J60" s="9">
        <v>0</v>
      </c>
      <c r="K60" s="9"/>
      <c r="L60" s="9"/>
    </row>
    <row r="61" spans="1:14" x14ac:dyDescent="0.25">
      <c r="A61" s="5"/>
      <c r="B61" t="s">
        <v>163</v>
      </c>
      <c r="F61" s="2"/>
      <c r="G61" s="2"/>
      <c r="H61" s="9">
        <v>250000</v>
      </c>
      <c r="I61" s="9">
        <v>250000</v>
      </c>
      <c r="J61" s="9">
        <v>65000</v>
      </c>
      <c r="K61" s="9">
        <v>90000</v>
      </c>
      <c r="L61" s="9">
        <v>40000</v>
      </c>
      <c r="M61" s="9">
        <v>44543</v>
      </c>
      <c r="N61" s="9">
        <v>15630</v>
      </c>
    </row>
    <row r="62" spans="1:14" x14ac:dyDescent="0.25">
      <c r="A62" s="5"/>
      <c r="B62" t="s">
        <v>164</v>
      </c>
      <c r="F62" s="2"/>
      <c r="G62" s="2"/>
      <c r="H62" s="9">
        <v>75000</v>
      </c>
      <c r="I62" s="9">
        <v>75000</v>
      </c>
      <c r="J62" s="9">
        <v>0</v>
      </c>
      <c r="K62" s="9"/>
      <c r="L62" s="9"/>
    </row>
    <row r="63" spans="1:14" x14ac:dyDescent="0.25">
      <c r="A63" s="5"/>
      <c r="B63" t="s">
        <v>165</v>
      </c>
      <c r="F63" s="2"/>
      <c r="G63" s="2"/>
      <c r="H63" s="9">
        <v>500</v>
      </c>
      <c r="I63" s="9">
        <v>500</v>
      </c>
      <c r="J63" s="9">
        <v>0</v>
      </c>
      <c r="K63" s="9"/>
      <c r="L63" s="9"/>
    </row>
    <row r="64" spans="1:14" ht="17.25" x14ac:dyDescent="0.4">
      <c r="B64" t="s">
        <v>166</v>
      </c>
      <c r="F64" s="4">
        <v>0</v>
      </c>
      <c r="G64" s="4">
        <v>0</v>
      </c>
      <c r="H64" s="10">
        <v>10000</v>
      </c>
      <c r="I64" s="10">
        <v>10000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</row>
    <row r="65" spans="1:15" x14ac:dyDescent="0.25">
      <c r="F65" s="2"/>
    </row>
    <row r="66" spans="1:15" ht="17.25" x14ac:dyDescent="0.4">
      <c r="A66" s="1" t="s">
        <v>3</v>
      </c>
      <c r="B66" s="1"/>
      <c r="C66" s="1"/>
      <c r="D66" s="1"/>
      <c r="E66" s="1"/>
      <c r="F66" s="7">
        <f t="shared" ref="F66:N66" si="0">SUM(F9:F65)</f>
        <v>6273226.6900000004</v>
      </c>
      <c r="G66" s="7">
        <f t="shared" si="0"/>
        <v>7478934</v>
      </c>
      <c r="H66" s="20">
        <f t="shared" si="0"/>
        <v>7157690</v>
      </c>
      <c r="I66" s="20">
        <f t="shared" si="0"/>
        <v>7350460</v>
      </c>
      <c r="J66" s="20">
        <f t="shared" si="0"/>
        <v>6782680</v>
      </c>
      <c r="K66" s="20">
        <f t="shared" si="0"/>
        <v>6998089</v>
      </c>
      <c r="L66" s="20">
        <f t="shared" si="0"/>
        <v>7017750</v>
      </c>
      <c r="M66" s="20">
        <f t="shared" si="0"/>
        <v>6998927</v>
      </c>
      <c r="N66" s="20">
        <f t="shared" si="0"/>
        <v>3973000</v>
      </c>
      <c r="O66" s="25">
        <f>N66/K66</f>
        <v>0.56772641788351075</v>
      </c>
    </row>
    <row r="67" spans="1:15" x14ac:dyDescent="0.25">
      <c r="N67" s="14"/>
    </row>
    <row r="68" spans="1:15" x14ac:dyDescent="0.25">
      <c r="N68" s="22">
        <v>45350</v>
      </c>
    </row>
    <row r="69" spans="1:15" x14ac:dyDescent="0.25">
      <c r="A69" t="s">
        <v>151</v>
      </c>
      <c r="G69" s="23"/>
      <c r="H69" s="11"/>
      <c r="K69" s="12" t="s">
        <v>187</v>
      </c>
      <c r="L69" s="12" t="s">
        <v>201</v>
      </c>
      <c r="M69" s="12" t="s">
        <v>202</v>
      </c>
      <c r="N69" s="12" t="s">
        <v>167</v>
      </c>
    </row>
    <row r="70" spans="1:15" x14ac:dyDescent="0.25">
      <c r="B70" t="s">
        <v>148</v>
      </c>
      <c r="G70" s="14"/>
      <c r="H70" s="14"/>
      <c r="K70" s="14">
        <f>Council!I43</f>
        <v>198250</v>
      </c>
      <c r="L70" s="14">
        <f>Council!J43</f>
        <v>230700</v>
      </c>
      <c r="M70" s="14">
        <f>Council!K43</f>
        <v>173481</v>
      </c>
      <c r="N70" s="14">
        <f>Council!L43</f>
        <v>96978</v>
      </c>
    </row>
    <row r="71" spans="1:15" x14ac:dyDescent="0.25">
      <c r="B71" t="s">
        <v>149</v>
      </c>
      <c r="G71" s="2"/>
      <c r="H71" s="2"/>
      <c r="K71" s="2">
        <f>Admin!J56</f>
        <v>1026965</v>
      </c>
      <c r="L71" s="2">
        <f>Admin!K56</f>
        <v>848176</v>
      </c>
      <c r="M71" s="2">
        <f>Admin!L56</f>
        <v>945321</v>
      </c>
      <c r="N71" s="2">
        <f>Admin!M56</f>
        <v>559462</v>
      </c>
    </row>
    <row r="72" spans="1:15" x14ac:dyDescent="0.25">
      <c r="B72" t="s">
        <v>48</v>
      </c>
      <c r="G72" s="2"/>
      <c r="H72" s="2"/>
      <c r="K72" s="2">
        <f>Finance!J33</f>
        <v>410510</v>
      </c>
      <c r="L72" s="2">
        <f>Finance!K33</f>
        <v>460585</v>
      </c>
      <c r="M72" s="2">
        <f>Finance!L33</f>
        <v>464192</v>
      </c>
      <c r="N72" s="2">
        <f>Finance!M33</f>
        <v>300579</v>
      </c>
    </row>
    <row r="73" spans="1:15" x14ac:dyDescent="0.25">
      <c r="B73" t="s">
        <v>150</v>
      </c>
      <c r="G73" s="2"/>
      <c r="H73" s="2"/>
      <c r="K73" s="2">
        <f>HR!I30</f>
        <v>111805</v>
      </c>
      <c r="L73" s="2">
        <f>HR!J30</f>
        <v>120655</v>
      </c>
      <c r="M73" s="2">
        <f>HR!K30</f>
        <v>71532</v>
      </c>
      <c r="N73" s="2">
        <f>HR!L30</f>
        <v>40141</v>
      </c>
    </row>
    <row r="74" spans="1:15" x14ac:dyDescent="0.25">
      <c r="B74" t="s">
        <v>49</v>
      </c>
      <c r="G74" s="2"/>
      <c r="H74" s="2"/>
      <c r="K74" s="9">
        <f>'Public Works'!L42</f>
        <v>931700</v>
      </c>
      <c r="L74" s="9">
        <f>'Public Works'!M42</f>
        <v>983550</v>
      </c>
      <c r="M74" s="9">
        <f>'Public Works'!N42</f>
        <v>973317</v>
      </c>
      <c r="N74" s="2">
        <f>'Public Works'!O42</f>
        <v>742308</v>
      </c>
    </row>
    <row r="75" spans="1:15" x14ac:dyDescent="0.25">
      <c r="B75" t="s">
        <v>50</v>
      </c>
      <c r="G75" s="2"/>
      <c r="H75" s="2"/>
      <c r="K75" s="2">
        <f>Police!J47</f>
        <v>1857425</v>
      </c>
      <c r="L75" s="2">
        <f>Police!K47</f>
        <v>1887550</v>
      </c>
      <c r="M75" s="2">
        <f>Police!L47</f>
        <v>1839760</v>
      </c>
      <c r="N75" s="2">
        <f>Police!M47</f>
        <v>1052693</v>
      </c>
    </row>
    <row r="76" spans="1:15" x14ac:dyDescent="0.25">
      <c r="B76" t="s">
        <v>51</v>
      </c>
      <c r="G76" s="2"/>
      <c r="H76" s="2"/>
      <c r="K76" s="2">
        <f>Fire!J46</f>
        <v>2070734</v>
      </c>
      <c r="L76" s="2">
        <f>Fire!K46</f>
        <v>2070734</v>
      </c>
      <c r="M76" s="2">
        <f>Fire!L46</f>
        <v>1995251</v>
      </c>
      <c r="N76" s="2">
        <v>1444362</v>
      </c>
    </row>
    <row r="77" spans="1:15" x14ac:dyDescent="0.25">
      <c r="B77" t="s">
        <v>52</v>
      </c>
      <c r="G77" s="2"/>
      <c r="H77" s="18"/>
      <c r="K77" s="18">
        <f>0</f>
        <v>0</v>
      </c>
      <c r="L77" s="18">
        <v>0</v>
      </c>
      <c r="M77" s="18">
        <v>0</v>
      </c>
      <c r="N77" s="18">
        <v>0</v>
      </c>
    </row>
    <row r="78" spans="1:15" ht="17.25" x14ac:dyDescent="0.4">
      <c r="B78" t="s">
        <v>160</v>
      </c>
      <c r="G78" s="4"/>
      <c r="H78" s="4"/>
      <c r="K78" s="4">
        <f>'Rec &amp; Aquatic'!J44</f>
        <v>390700</v>
      </c>
      <c r="L78" s="4">
        <f>'Rec &amp; Aquatic'!K44</f>
        <v>415800</v>
      </c>
      <c r="M78" s="4">
        <f>'Rec &amp; Aquatic'!L44</f>
        <v>588992</v>
      </c>
      <c r="N78" s="4">
        <f>'Rec &amp; Aquatic'!M44</f>
        <v>551591</v>
      </c>
    </row>
    <row r="80" spans="1:15" ht="17.25" x14ac:dyDescent="0.4">
      <c r="A80" s="1" t="s">
        <v>147</v>
      </c>
      <c r="B80" s="1"/>
      <c r="C80" s="1"/>
      <c r="D80" s="1"/>
      <c r="E80" s="1"/>
      <c r="F80" s="1"/>
      <c r="G80" s="15"/>
      <c r="H80" s="15"/>
      <c r="K80" s="15">
        <f>SUM(K70:K79)</f>
        <v>6998089</v>
      </c>
      <c r="L80" s="15">
        <f>SUM(L70:L79)</f>
        <v>7017750</v>
      </c>
      <c r="M80" s="15">
        <f>SUM(M70:M79)</f>
        <v>7051846</v>
      </c>
      <c r="N80" s="15">
        <f>SUM(N70:N79)</f>
        <v>4788114</v>
      </c>
    </row>
    <row r="82" spans="3:13" x14ac:dyDescent="0.25">
      <c r="K82" s="14">
        <f>K66-K80</f>
        <v>0</v>
      </c>
      <c r="L82" s="14">
        <f>L66-L80</f>
        <v>0</v>
      </c>
      <c r="M82" s="14"/>
    </row>
    <row r="83" spans="3:13" ht="17.25" x14ac:dyDescent="0.4">
      <c r="C83" t="s">
        <v>152</v>
      </c>
      <c r="G83" s="15"/>
      <c r="H83" s="15"/>
      <c r="I83" s="15"/>
      <c r="J83" s="15"/>
      <c r="K83" s="15"/>
      <c r="L83" s="15"/>
    </row>
  </sheetData>
  <mergeCells count="2">
    <mergeCell ref="B8:D8"/>
    <mergeCell ref="B57:E57"/>
  </mergeCells>
  <phoneticPr fontId="7" type="noConversion"/>
  <pageMargins left="0.25" right="0.25" top="0.75" bottom="0.75" header="0.3" footer="0.3"/>
  <pageSetup scale="51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6A5E0-D836-4601-A5BA-31699CD305AC}">
  <sheetPr>
    <pageSetUpPr fitToPage="1"/>
  </sheetPr>
  <dimension ref="A1:R44"/>
  <sheetViews>
    <sheetView topLeftCell="A3" workbookViewId="0">
      <selection activeCell="E37" sqref="E37"/>
    </sheetView>
  </sheetViews>
  <sheetFormatPr defaultRowHeight="15" x14ac:dyDescent="0.25"/>
  <cols>
    <col min="4" max="4" width="3.7109375" customWidth="1"/>
    <col min="5" max="6" width="14.28515625" customWidth="1"/>
    <col min="7" max="7" width="12.5703125" bestFit="1" customWidth="1"/>
    <col min="8" max="10" width="12.5703125" customWidth="1"/>
    <col min="11" max="12" width="12.42578125" bestFit="1" customWidth="1"/>
    <col min="13" max="13" width="2.85546875" customWidth="1"/>
    <col min="18" max="18" width="10.5703125" bestFit="1" customWidth="1"/>
  </cols>
  <sheetData>
    <row r="1" spans="1:18" x14ac:dyDescent="0.25">
      <c r="A1" t="s">
        <v>204</v>
      </c>
    </row>
    <row r="2" spans="1:18" x14ac:dyDescent="0.25">
      <c r="A2" t="s">
        <v>136</v>
      </c>
    </row>
    <row r="5" spans="1:18" x14ac:dyDescent="0.25">
      <c r="A5" s="1"/>
      <c r="B5" s="1"/>
      <c r="C5" s="1"/>
      <c r="D5" s="1"/>
      <c r="E5" s="11" t="s">
        <v>139</v>
      </c>
      <c r="F5" s="11" t="s">
        <v>137</v>
      </c>
      <c r="G5" s="11" t="s">
        <v>156</v>
      </c>
      <c r="H5" s="11" t="s">
        <v>171</v>
      </c>
      <c r="I5" s="11" t="s">
        <v>186</v>
      </c>
      <c r="J5" s="11" t="s">
        <v>203</v>
      </c>
      <c r="K5" s="21">
        <v>45107</v>
      </c>
      <c r="L5" s="21">
        <v>45350</v>
      </c>
      <c r="N5" t="s">
        <v>172</v>
      </c>
    </row>
    <row r="6" spans="1:18" x14ac:dyDescent="0.25">
      <c r="A6" s="12" t="s">
        <v>46</v>
      </c>
      <c r="B6" s="33" t="s">
        <v>47</v>
      </c>
      <c r="C6" s="33"/>
      <c r="D6" s="33"/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167</v>
      </c>
      <c r="L6" s="12" t="s">
        <v>167</v>
      </c>
      <c r="N6" t="s">
        <v>173</v>
      </c>
      <c r="P6" t="s">
        <v>174</v>
      </c>
      <c r="R6" s="2">
        <f>8*5408</f>
        <v>43264</v>
      </c>
    </row>
    <row r="7" spans="1:18" x14ac:dyDescent="0.25">
      <c r="A7" s="5">
        <v>51100</v>
      </c>
      <c r="B7" t="s">
        <v>53</v>
      </c>
      <c r="E7" s="2">
        <v>51700.32</v>
      </c>
      <c r="F7" s="2">
        <v>51700</v>
      </c>
      <c r="G7" s="2">
        <v>51700</v>
      </c>
      <c r="H7" s="2">
        <v>51700</v>
      </c>
      <c r="I7" s="2">
        <v>51700</v>
      </c>
      <c r="J7" s="2">
        <v>51700</v>
      </c>
      <c r="K7" s="2">
        <v>52069</v>
      </c>
      <c r="L7" s="9">
        <v>34467</v>
      </c>
      <c r="N7" t="s">
        <v>175</v>
      </c>
      <c r="P7">
        <v>8436</v>
      </c>
      <c r="R7" s="2">
        <v>8436</v>
      </c>
    </row>
    <row r="8" spans="1:18" x14ac:dyDescent="0.25">
      <c r="A8" s="5">
        <v>52100</v>
      </c>
      <c r="B8" t="s">
        <v>54</v>
      </c>
      <c r="E8" s="9">
        <v>38763.599999999999</v>
      </c>
      <c r="F8" s="9">
        <v>34120</v>
      </c>
      <c r="G8" s="9">
        <v>35150</v>
      </c>
      <c r="H8" s="9">
        <f>29500+2200</f>
        <v>31700</v>
      </c>
      <c r="I8" s="9">
        <v>31700</v>
      </c>
      <c r="J8" s="9">
        <v>31700</v>
      </c>
      <c r="K8" s="9">
        <v>18437</v>
      </c>
      <c r="L8" s="9">
        <v>3889</v>
      </c>
      <c r="R8" s="2"/>
    </row>
    <row r="9" spans="1:18" x14ac:dyDescent="0.25">
      <c r="A9" s="5">
        <v>52200</v>
      </c>
      <c r="B9" t="s">
        <v>55</v>
      </c>
      <c r="E9" s="2">
        <v>3955.07</v>
      </c>
      <c r="F9" s="2">
        <v>3960</v>
      </c>
      <c r="G9" s="2">
        <v>3960</v>
      </c>
      <c r="H9" s="2">
        <v>3960</v>
      </c>
      <c r="I9" s="2">
        <v>3960</v>
      </c>
      <c r="J9" s="2">
        <v>3960</v>
      </c>
      <c r="K9" s="2">
        <v>3303</v>
      </c>
      <c r="L9" s="9">
        <v>1957</v>
      </c>
      <c r="R9" s="2">
        <f>SUM(R6:R8)</f>
        <v>51700</v>
      </c>
    </row>
    <row r="10" spans="1:18" x14ac:dyDescent="0.25">
      <c r="A10" s="5">
        <v>52300</v>
      </c>
      <c r="B10" t="s">
        <v>56</v>
      </c>
      <c r="E10" s="2">
        <v>8044.57</v>
      </c>
      <c r="F10" s="2">
        <v>8560</v>
      </c>
      <c r="G10" s="2">
        <v>8560</v>
      </c>
      <c r="H10" s="2">
        <v>9100</v>
      </c>
      <c r="I10" s="2">
        <v>9600</v>
      </c>
      <c r="J10" s="2">
        <v>10050</v>
      </c>
      <c r="K10" s="2">
        <v>6463</v>
      </c>
      <c r="L10" s="9">
        <v>3590</v>
      </c>
      <c r="R10" s="2"/>
    </row>
    <row r="11" spans="1:18" x14ac:dyDescent="0.25">
      <c r="A11" s="5">
        <v>52500</v>
      </c>
      <c r="B11" t="s">
        <v>194</v>
      </c>
      <c r="E11" s="2"/>
      <c r="F11" s="2"/>
      <c r="G11" s="2"/>
      <c r="H11" s="2"/>
      <c r="I11" s="2"/>
      <c r="J11" s="2"/>
      <c r="K11" s="2">
        <v>223</v>
      </c>
      <c r="L11" s="9">
        <v>0</v>
      </c>
      <c r="R11" s="2"/>
    </row>
    <row r="12" spans="1:18" x14ac:dyDescent="0.25">
      <c r="A12" s="5">
        <v>52600</v>
      </c>
      <c r="B12" t="s">
        <v>57</v>
      </c>
      <c r="E12" s="2">
        <v>918.08</v>
      </c>
      <c r="F12" s="9">
        <v>800</v>
      </c>
      <c r="G12" s="9">
        <v>800</v>
      </c>
      <c r="H12" s="9">
        <v>800</v>
      </c>
      <c r="I12" s="9">
        <v>800</v>
      </c>
      <c r="J12" s="9">
        <v>800</v>
      </c>
      <c r="K12" s="2">
        <v>1240</v>
      </c>
      <c r="L12" s="9">
        <v>627</v>
      </c>
    </row>
    <row r="13" spans="1:18" x14ac:dyDescent="0.25">
      <c r="A13" s="5">
        <v>53300</v>
      </c>
      <c r="B13" t="s">
        <v>58</v>
      </c>
      <c r="E13" s="2">
        <v>20000</v>
      </c>
      <c r="F13" s="2">
        <v>28500</v>
      </c>
      <c r="G13" s="2">
        <v>40000</v>
      </c>
      <c r="H13" s="2">
        <v>40000</v>
      </c>
      <c r="I13" s="2">
        <v>40000</v>
      </c>
      <c r="J13" s="2">
        <v>70000</v>
      </c>
      <c r="K13" s="2">
        <v>28883</v>
      </c>
      <c r="L13" s="9">
        <v>16561</v>
      </c>
    </row>
    <row r="14" spans="1:18" x14ac:dyDescent="0.25">
      <c r="A14" s="5">
        <v>54303</v>
      </c>
      <c r="B14" t="s">
        <v>85</v>
      </c>
      <c r="E14" s="2">
        <v>5000</v>
      </c>
      <c r="F14" s="2">
        <v>5000</v>
      </c>
      <c r="G14" s="2">
        <v>2500</v>
      </c>
      <c r="H14" s="2">
        <v>3000</v>
      </c>
      <c r="I14" s="2">
        <v>3000</v>
      </c>
      <c r="J14" s="2">
        <v>3000</v>
      </c>
      <c r="K14" s="2">
        <v>629</v>
      </c>
      <c r="L14" s="9">
        <v>513</v>
      </c>
    </row>
    <row r="15" spans="1:18" x14ac:dyDescent="0.25">
      <c r="A15" s="5">
        <v>54305</v>
      </c>
      <c r="B15" t="s">
        <v>59</v>
      </c>
      <c r="E15" s="2">
        <v>39.36</v>
      </c>
      <c r="F15" s="2">
        <v>0</v>
      </c>
      <c r="G15" s="2">
        <v>0</v>
      </c>
      <c r="H15" s="2"/>
      <c r="I15" s="2"/>
      <c r="J15" s="2"/>
      <c r="K15" s="2">
        <v>0</v>
      </c>
      <c r="L15">
        <v>0</v>
      </c>
    </row>
    <row r="16" spans="1:18" x14ac:dyDescent="0.25">
      <c r="A16" s="5">
        <v>54307</v>
      </c>
      <c r="B16" t="s">
        <v>60</v>
      </c>
      <c r="E16" s="2">
        <v>4500</v>
      </c>
      <c r="F16" s="9">
        <v>0</v>
      </c>
      <c r="G16" s="9">
        <v>0</v>
      </c>
      <c r="H16" s="9"/>
      <c r="I16" s="9"/>
      <c r="J16" s="9"/>
      <c r="K16" s="2">
        <v>0</v>
      </c>
      <c r="L16" s="9">
        <v>-342</v>
      </c>
    </row>
    <row r="17" spans="1:12" x14ac:dyDescent="0.25">
      <c r="A17" s="5">
        <v>55200</v>
      </c>
      <c r="B17" t="s">
        <v>61</v>
      </c>
      <c r="E17" s="2">
        <v>9190.32</v>
      </c>
      <c r="F17" s="9">
        <v>9500</v>
      </c>
      <c r="G17" s="9">
        <v>9500</v>
      </c>
      <c r="H17" s="9">
        <v>9500</v>
      </c>
      <c r="I17" s="9">
        <v>13000</v>
      </c>
      <c r="J17" s="9">
        <v>15000</v>
      </c>
      <c r="K17" s="2">
        <v>15921</v>
      </c>
      <c r="L17" s="9">
        <v>9298</v>
      </c>
    </row>
    <row r="18" spans="1:12" x14ac:dyDescent="0.25">
      <c r="A18" s="5">
        <v>55301</v>
      </c>
      <c r="B18" t="s">
        <v>62</v>
      </c>
      <c r="E18" s="2">
        <v>8320</v>
      </c>
      <c r="F18" s="2">
        <v>9420</v>
      </c>
      <c r="G18" s="2">
        <v>5000</v>
      </c>
      <c r="H18" s="2">
        <v>5500</v>
      </c>
      <c r="I18" s="2">
        <v>8050</v>
      </c>
      <c r="J18" s="2">
        <v>8050</v>
      </c>
      <c r="K18" s="2">
        <v>6974</v>
      </c>
      <c r="L18" s="9">
        <v>5389</v>
      </c>
    </row>
    <row r="19" spans="1:12" x14ac:dyDescent="0.25">
      <c r="A19" s="5">
        <v>55500</v>
      </c>
      <c r="B19" t="s">
        <v>63</v>
      </c>
      <c r="E19" s="2">
        <v>750</v>
      </c>
      <c r="F19" s="9">
        <v>0</v>
      </c>
      <c r="G19" s="9">
        <v>0</v>
      </c>
      <c r="H19" s="9"/>
      <c r="I19" s="9"/>
      <c r="J19" s="9"/>
      <c r="K19" s="2">
        <v>0</v>
      </c>
      <c r="L19">
        <v>0</v>
      </c>
    </row>
    <row r="20" spans="1:12" x14ac:dyDescent="0.25">
      <c r="A20" s="5">
        <v>55501</v>
      </c>
      <c r="B20" t="s">
        <v>64</v>
      </c>
      <c r="E20" s="2">
        <v>4500</v>
      </c>
      <c r="F20" s="2">
        <v>4500</v>
      </c>
      <c r="G20" s="2">
        <v>4500</v>
      </c>
      <c r="H20" s="2">
        <v>4500</v>
      </c>
      <c r="I20" s="2">
        <v>4500</v>
      </c>
      <c r="J20" s="2">
        <v>4500</v>
      </c>
      <c r="K20" s="2">
        <v>7050</v>
      </c>
      <c r="L20" s="9">
        <v>813</v>
      </c>
    </row>
    <row r="21" spans="1:12" x14ac:dyDescent="0.25">
      <c r="A21" s="5">
        <v>55600</v>
      </c>
      <c r="B21" t="s">
        <v>65</v>
      </c>
      <c r="E21" s="2">
        <v>1470</v>
      </c>
      <c r="F21" s="2">
        <v>1500</v>
      </c>
      <c r="G21" s="2">
        <v>1500</v>
      </c>
      <c r="H21" s="2">
        <v>2500</v>
      </c>
      <c r="I21" s="2">
        <v>2500</v>
      </c>
      <c r="J21" s="2">
        <v>2500</v>
      </c>
      <c r="K21" s="2">
        <v>16</v>
      </c>
      <c r="L21" s="9">
        <v>1309</v>
      </c>
    </row>
    <row r="22" spans="1:12" x14ac:dyDescent="0.25">
      <c r="A22" s="5">
        <v>55720</v>
      </c>
      <c r="B22" t="s">
        <v>66</v>
      </c>
      <c r="E22" s="2">
        <v>4600</v>
      </c>
      <c r="F22" s="2">
        <v>2500</v>
      </c>
      <c r="G22" s="2">
        <v>2500</v>
      </c>
      <c r="H22" s="2">
        <v>2500</v>
      </c>
      <c r="I22" s="2">
        <v>2500</v>
      </c>
      <c r="J22" s="2">
        <v>2500</v>
      </c>
      <c r="K22" s="2">
        <v>3249</v>
      </c>
      <c r="L22" s="9">
        <v>1990</v>
      </c>
    </row>
    <row r="23" spans="1:12" x14ac:dyDescent="0.25">
      <c r="A23" s="5">
        <v>55812</v>
      </c>
      <c r="B23" t="s">
        <v>109</v>
      </c>
      <c r="E23" s="2">
        <v>5000</v>
      </c>
      <c r="F23" s="2">
        <v>3650</v>
      </c>
      <c r="G23" s="2">
        <v>3000</v>
      </c>
      <c r="H23" s="2">
        <v>3000</v>
      </c>
      <c r="I23" s="2">
        <v>3000</v>
      </c>
      <c r="J23" s="2">
        <v>3000</v>
      </c>
      <c r="K23" s="2">
        <v>825</v>
      </c>
      <c r="L23" s="9">
        <v>768</v>
      </c>
    </row>
    <row r="24" spans="1:12" x14ac:dyDescent="0.25">
      <c r="A24" s="5">
        <v>55830</v>
      </c>
      <c r="B24" t="s">
        <v>67</v>
      </c>
      <c r="E24" s="2">
        <v>2300</v>
      </c>
      <c r="F24" s="2">
        <v>1100</v>
      </c>
      <c r="G24" s="2">
        <v>1500</v>
      </c>
      <c r="H24" s="2">
        <v>1500</v>
      </c>
      <c r="I24" s="2">
        <v>1500</v>
      </c>
      <c r="J24" s="2">
        <v>1500</v>
      </c>
      <c r="K24" s="2">
        <v>780</v>
      </c>
      <c r="L24" s="9">
        <v>597</v>
      </c>
    </row>
    <row r="25" spans="1:12" x14ac:dyDescent="0.25">
      <c r="A25" s="5">
        <v>55840</v>
      </c>
      <c r="B25" t="s">
        <v>68</v>
      </c>
      <c r="E25" s="2">
        <v>5500</v>
      </c>
      <c r="F25" s="2">
        <v>2400</v>
      </c>
      <c r="G25" s="2">
        <v>3400</v>
      </c>
      <c r="H25" s="2">
        <v>8000</v>
      </c>
      <c r="I25" s="2">
        <v>8000</v>
      </c>
      <c r="J25" s="2">
        <v>8000</v>
      </c>
      <c r="K25" s="2">
        <v>2633</v>
      </c>
      <c r="L25" s="9">
        <f>231+1740</f>
        <v>1971</v>
      </c>
    </row>
    <row r="26" spans="1:12" x14ac:dyDescent="0.25">
      <c r="A26" s="5">
        <v>55850</v>
      </c>
      <c r="B26" t="s">
        <v>69</v>
      </c>
      <c r="E26" s="2">
        <v>1500</v>
      </c>
      <c r="F26" s="2">
        <v>650</v>
      </c>
      <c r="G26" s="2">
        <v>900</v>
      </c>
      <c r="H26" s="2">
        <v>900</v>
      </c>
      <c r="I26" s="2">
        <v>900</v>
      </c>
      <c r="J26" s="2">
        <v>900</v>
      </c>
      <c r="K26" s="2">
        <v>216</v>
      </c>
      <c r="L26" s="9">
        <v>571</v>
      </c>
    </row>
    <row r="27" spans="1:12" x14ac:dyDescent="0.25">
      <c r="A27" s="5">
        <v>55900</v>
      </c>
      <c r="B27" t="s">
        <v>70</v>
      </c>
      <c r="E27" s="2">
        <v>400</v>
      </c>
      <c r="F27" s="2">
        <v>400</v>
      </c>
      <c r="G27" s="2">
        <v>300</v>
      </c>
      <c r="H27" s="2">
        <v>340</v>
      </c>
      <c r="I27" s="2">
        <v>340</v>
      </c>
      <c r="J27" s="2">
        <v>340</v>
      </c>
      <c r="K27" s="2">
        <v>615</v>
      </c>
      <c r="L27" s="9">
        <v>541</v>
      </c>
    </row>
    <row r="28" spans="1:12" x14ac:dyDescent="0.25">
      <c r="A28" s="5">
        <v>56220</v>
      </c>
      <c r="B28" t="s">
        <v>97</v>
      </c>
      <c r="E28" s="2">
        <v>4300</v>
      </c>
      <c r="F28" s="2">
        <v>4500</v>
      </c>
      <c r="G28" s="2">
        <v>4500</v>
      </c>
      <c r="H28" s="2">
        <v>3500</v>
      </c>
      <c r="I28" s="2">
        <v>3500</v>
      </c>
      <c r="J28" s="2">
        <v>3500</v>
      </c>
      <c r="K28" s="2">
        <v>6800</v>
      </c>
      <c r="L28" s="9">
        <v>5689</v>
      </c>
    </row>
    <row r="29" spans="1:12" x14ac:dyDescent="0.25">
      <c r="A29" s="5">
        <v>56221</v>
      </c>
      <c r="B29" t="s">
        <v>98</v>
      </c>
      <c r="E29" s="2">
        <v>2200</v>
      </c>
      <c r="F29" s="2">
        <v>2200</v>
      </c>
      <c r="G29" s="2">
        <v>2200</v>
      </c>
      <c r="H29" s="2">
        <v>2200</v>
      </c>
      <c r="I29" s="2">
        <v>2200</v>
      </c>
      <c r="J29" s="2">
        <v>2200</v>
      </c>
      <c r="K29" s="2">
        <v>1896</v>
      </c>
      <c r="L29" s="9">
        <v>1337</v>
      </c>
    </row>
    <row r="30" spans="1:12" x14ac:dyDescent="0.25">
      <c r="A30" s="5">
        <v>56222</v>
      </c>
      <c r="B30" t="s">
        <v>99</v>
      </c>
      <c r="E30" s="2">
        <v>450</v>
      </c>
      <c r="F30" s="2">
        <v>650</v>
      </c>
      <c r="G30" s="2">
        <v>650</v>
      </c>
      <c r="H30" s="2">
        <v>1000</v>
      </c>
      <c r="I30" s="2">
        <v>1000</v>
      </c>
      <c r="J30" s="2">
        <v>1000</v>
      </c>
      <c r="K30" s="2">
        <v>1125</v>
      </c>
      <c r="L30" s="9">
        <v>815</v>
      </c>
    </row>
    <row r="31" spans="1:12" x14ac:dyDescent="0.25">
      <c r="A31" s="5">
        <v>56500</v>
      </c>
      <c r="B31" t="s">
        <v>71</v>
      </c>
      <c r="E31" s="2">
        <v>165</v>
      </c>
      <c r="F31" s="2">
        <v>175</v>
      </c>
      <c r="G31" s="2">
        <v>175</v>
      </c>
      <c r="H31" s="2"/>
      <c r="I31" s="2"/>
      <c r="J31" s="2"/>
      <c r="K31" s="2">
        <v>160</v>
      </c>
      <c r="L31" s="9">
        <v>160</v>
      </c>
    </row>
    <row r="32" spans="1:12" x14ac:dyDescent="0.25">
      <c r="A32" s="5">
        <v>58003</v>
      </c>
      <c r="B32" t="s">
        <v>157</v>
      </c>
      <c r="E32" s="2">
        <v>1000</v>
      </c>
      <c r="F32" s="2">
        <v>0</v>
      </c>
      <c r="G32" s="2">
        <v>0</v>
      </c>
      <c r="H32" s="2"/>
      <c r="I32" s="2"/>
      <c r="J32" s="2"/>
      <c r="K32" s="2">
        <v>0</v>
      </c>
    </row>
    <row r="33" spans="1:14" x14ac:dyDescent="0.25">
      <c r="A33" s="5">
        <v>58005</v>
      </c>
      <c r="B33" t="s">
        <v>72</v>
      </c>
      <c r="E33" s="2">
        <v>1000</v>
      </c>
      <c r="F33" s="2">
        <v>0</v>
      </c>
      <c r="G33" s="2">
        <v>0</v>
      </c>
      <c r="H33" s="2"/>
      <c r="I33" s="2"/>
      <c r="J33" s="2"/>
      <c r="K33" s="2">
        <v>453</v>
      </c>
      <c r="L33" s="9">
        <v>0</v>
      </c>
    </row>
    <row r="34" spans="1:14" x14ac:dyDescent="0.25">
      <c r="A34" s="5">
        <v>58006</v>
      </c>
      <c r="B34" t="s">
        <v>73</v>
      </c>
      <c r="E34" s="2">
        <v>1500</v>
      </c>
      <c r="F34" s="2">
        <v>0</v>
      </c>
      <c r="G34" s="2">
        <v>0</v>
      </c>
      <c r="H34" s="2"/>
      <c r="I34" s="2"/>
      <c r="J34" s="2"/>
      <c r="K34" s="2">
        <v>0</v>
      </c>
    </row>
    <row r="35" spans="1:14" x14ac:dyDescent="0.25">
      <c r="A35" s="5">
        <v>58007</v>
      </c>
      <c r="B35" t="s">
        <v>74</v>
      </c>
      <c r="E35" s="2">
        <v>3000</v>
      </c>
      <c r="F35" s="2">
        <v>3000</v>
      </c>
      <c r="G35" s="2">
        <v>3000</v>
      </c>
      <c r="H35" s="2"/>
      <c r="I35" s="2"/>
      <c r="J35" s="2"/>
      <c r="K35" s="2">
        <v>3000</v>
      </c>
      <c r="L35" s="9">
        <v>3925</v>
      </c>
    </row>
    <row r="36" spans="1:14" x14ac:dyDescent="0.25">
      <c r="A36" s="5">
        <v>58008</v>
      </c>
      <c r="B36" t="s">
        <v>75</v>
      </c>
      <c r="E36" s="2">
        <v>500</v>
      </c>
      <c r="F36" s="2">
        <v>0</v>
      </c>
      <c r="G36" s="2">
        <v>0</v>
      </c>
      <c r="H36" s="2"/>
      <c r="I36" s="2"/>
      <c r="J36" s="2"/>
      <c r="K36" s="2">
        <v>0</v>
      </c>
    </row>
    <row r="37" spans="1:14" x14ac:dyDescent="0.25">
      <c r="A37" s="5">
        <v>58010</v>
      </c>
      <c r="B37" t="s">
        <v>76</v>
      </c>
      <c r="E37" s="2">
        <v>500</v>
      </c>
      <c r="F37" s="2">
        <v>0</v>
      </c>
      <c r="G37" s="2">
        <v>0</v>
      </c>
      <c r="H37" s="2"/>
      <c r="I37" s="2"/>
      <c r="J37" s="2"/>
      <c r="K37" s="2">
        <v>0</v>
      </c>
    </row>
    <row r="38" spans="1:14" x14ac:dyDescent="0.25">
      <c r="A38" s="5">
        <v>58011</v>
      </c>
      <c r="B38" t="s">
        <v>77</v>
      </c>
      <c r="E38" s="2">
        <v>4000</v>
      </c>
      <c r="F38" s="2">
        <v>4000</v>
      </c>
      <c r="G38" s="2">
        <v>4000</v>
      </c>
      <c r="H38" s="2">
        <v>1500</v>
      </c>
      <c r="I38" s="2">
        <v>1500</v>
      </c>
      <c r="J38" s="2">
        <v>1500</v>
      </c>
      <c r="K38" s="2">
        <v>10262</v>
      </c>
    </row>
    <row r="39" spans="1:14" x14ac:dyDescent="0.25">
      <c r="A39" s="5">
        <v>58100</v>
      </c>
      <c r="B39" t="s">
        <v>78</v>
      </c>
      <c r="E39" s="2">
        <v>2000</v>
      </c>
      <c r="F39" s="2">
        <v>0</v>
      </c>
      <c r="G39" s="2">
        <v>2000</v>
      </c>
      <c r="H39" s="2">
        <v>5000</v>
      </c>
      <c r="I39" s="2">
        <v>5000</v>
      </c>
      <c r="J39" s="2">
        <v>5000</v>
      </c>
      <c r="K39" s="2">
        <v>259</v>
      </c>
      <c r="L39" s="9">
        <v>543</v>
      </c>
    </row>
    <row r="40" spans="1:14" x14ac:dyDescent="0.25">
      <c r="A40" s="5">
        <v>59400</v>
      </c>
      <c r="B40" t="s">
        <v>80</v>
      </c>
      <c r="E40" s="2">
        <v>0</v>
      </c>
      <c r="F40" s="9">
        <v>0</v>
      </c>
      <c r="G40" s="9">
        <v>0</v>
      </c>
      <c r="H40" s="9"/>
      <c r="I40" s="9"/>
      <c r="J40" s="9"/>
      <c r="K40" s="2">
        <v>0</v>
      </c>
    </row>
    <row r="41" spans="1:14" ht="17.25" x14ac:dyDescent="0.4">
      <c r="A41" s="5">
        <v>59410</v>
      </c>
      <c r="B41" t="s">
        <v>79</v>
      </c>
      <c r="E41" s="4">
        <v>25000</v>
      </c>
      <c r="F41" s="10">
        <v>15000</v>
      </c>
      <c r="G41" s="10">
        <v>18000</v>
      </c>
      <c r="H41" s="10">
        <v>15000</v>
      </c>
      <c r="I41" s="10">
        <v>0</v>
      </c>
      <c r="J41" s="10">
        <v>0</v>
      </c>
      <c r="K41" s="10">
        <v>0</v>
      </c>
      <c r="L41" s="10">
        <v>0</v>
      </c>
    </row>
    <row r="42" spans="1:14" x14ac:dyDescent="0.25">
      <c r="A42" s="5"/>
      <c r="F42" s="2"/>
      <c r="G42" s="2"/>
      <c r="H42" s="2"/>
      <c r="I42" s="2"/>
      <c r="J42" s="2"/>
    </row>
    <row r="43" spans="1:14" ht="17.25" x14ac:dyDescent="0.4">
      <c r="A43" s="5"/>
      <c r="B43" s="1" t="s">
        <v>81</v>
      </c>
      <c r="E43" s="7">
        <f t="shared" ref="E43:L43" si="0">SUM(E7:E42)</f>
        <v>222066.32</v>
      </c>
      <c r="F43" s="7">
        <f t="shared" si="0"/>
        <v>197785</v>
      </c>
      <c r="G43" s="7">
        <f t="shared" si="0"/>
        <v>209295</v>
      </c>
      <c r="H43" s="7">
        <f t="shared" si="0"/>
        <v>206700</v>
      </c>
      <c r="I43" s="7">
        <f t="shared" si="0"/>
        <v>198250</v>
      </c>
      <c r="J43" s="7">
        <f t="shared" si="0"/>
        <v>230700</v>
      </c>
      <c r="K43" s="7">
        <f t="shared" si="0"/>
        <v>173481</v>
      </c>
      <c r="L43" s="7">
        <f t="shared" si="0"/>
        <v>96978</v>
      </c>
      <c r="N43" s="26">
        <f>L43/I43</f>
        <v>0.4891702395964691</v>
      </c>
    </row>
    <row r="44" spans="1:14" x14ac:dyDescent="0.25">
      <c r="A44" s="5"/>
      <c r="F44" s="2"/>
    </row>
  </sheetData>
  <mergeCells count="1">
    <mergeCell ref="B6:D6"/>
  </mergeCells>
  <phoneticPr fontId="7" type="noConversion"/>
  <pageMargins left="0.25" right="0.25" top="0.75" bottom="0.75" header="0.3" footer="0.3"/>
  <pageSetup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5A32-D2F9-4561-9D1F-306B5D6DF31A}">
  <sheetPr>
    <pageSetUpPr fitToPage="1"/>
  </sheetPr>
  <dimension ref="A1:V58"/>
  <sheetViews>
    <sheetView topLeftCell="A40" workbookViewId="0">
      <selection activeCell="K54" sqref="K54"/>
    </sheetView>
  </sheetViews>
  <sheetFormatPr defaultRowHeight="15" x14ac:dyDescent="0.25"/>
  <cols>
    <col min="4" max="4" width="4.5703125" customWidth="1"/>
    <col min="5" max="5" width="14" customWidth="1"/>
    <col min="6" max="6" width="14.140625" customWidth="1"/>
    <col min="7" max="7" width="14.28515625" bestFit="1" customWidth="1"/>
    <col min="8" max="8" width="14.28515625" hidden="1" customWidth="1"/>
    <col min="9" max="11" width="14.28515625" customWidth="1"/>
    <col min="12" max="13" width="13.140625" customWidth="1"/>
    <col min="14" max="14" width="2.85546875" customWidth="1"/>
    <col min="15" max="15" width="10.5703125" bestFit="1" customWidth="1"/>
    <col min="18" max="18" width="10.5703125" bestFit="1" customWidth="1"/>
  </cols>
  <sheetData>
    <row r="1" spans="1:22" x14ac:dyDescent="0.25">
      <c r="A1" t="s">
        <v>204</v>
      </c>
    </row>
    <row r="2" spans="1:22" x14ac:dyDescent="0.25">
      <c r="A2" t="s">
        <v>140</v>
      </c>
    </row>
    <row r="4" spans="1:22" x14ac:dyDescent="0.25">
      <c r="H4" s="11" t="s">
        <v>170</v>
      </c>
      <c r="I4" s="11"/>
      <c r="J4" s="11"/>
      <c r="K4" s="11"/>
    </row>
    <row r="5" spans="1:22" x14ac:dyDescent="0.25">
      <c r="A5" s="1"/>
      <c r="B5" s="1"/>
      <c r="C5" s="1"/>
      <c r="D5" s="1"/>
      <c r="E5" s="11" t="s">
        <v>139</v>
      </c>
      <c r="F5" s="11" t="s">
        <v>137</v>
      </c>
      <c r="G5" s="11" t="s">
        <v>156</v>
      </c>
      <c r="H5" s="11" t="s">
        <v>156</v>
      </c>
      <c r="I5" s="11" t="s">
        <v>171</v>
      </c>
      <c r="J5" s="11" t="s">
        <v>186</v>
      </c>
      <c r="K5" s="11" t="s">
        <v>203</v>
      </c>
      <c r="L5" s="22">
        <v>45107</v>
      </c>
      <c r="M5" s="22">
        <v>45350</v>
      </c>
    </row>
    <row r="6" spans="1:22" x14ac:dyDescent="0.25">
      <c r="A6" s="12" t="s">
        <v>46</v>
      </c>
      <c r="B6" s="33" t="s">
        <v>47</v>
      </c>
      <c r="C6" s="33"/>
      <c r="D6" s="33"/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138</v>
      </c>
      <c r="L6" s="12" t="s">
        <v>167</v>
      </c>
      <c r="M6" s="12" t="s">
        <v>167</v>
      </c>
      <c r="O6" s="12" t="s">
        <v>172</v>
      </c>
    </row>
    <row r="7" spans="1:22" x14ac:dyDescent="0.25">
      <c r="A7" s="5">
        <v>51100</v>
      </c>
      <c r="B7" t="s">
        <v>53</v>
      </c>
      <c r="E7" s="2">
        <v>157293.76000000001</v>
      </c>
      <c r="F7" s="2">
        <v>157300</v>
      </c>
      <c r="G7" s="2">
        <v>200850</v>
      </c>
      <c r="H7" s="2">
        <v>187300</v>
      </c>
      <c r="I7" s="2">
        <v>190000</v>
      </c>
      <c r="J7" s="2">
        <v>192250</v>
      </c>
      <c r="K7" s="2">
        <v>196000</v>
      </c>
      <c r="L7" s="2">
        <v>367142</v>
      </c>
      <c r="M7" s="2">
        <v>131335</v>
      </c>
      <c r="O7" t="s">
        <v>176</v>
      </c>
      <c r="P7" t="s">
        <v>177</v>
      </c>
      <c r="R7" s="2">
        <v>14465.32</v>
      </c>
    </row>
    <row r="8" spans="1:22" x14ac:dyDescent="0.25">
      <c r="A8" s="5">
        <v>52100</v>
      </c>
      <c r="B8" t="s">
        <v>54</v>
      </c>
      <c r="E8" s="9">
        <v>8610</v>
      </c>
      <c r="F8" s="9">
        <v>14500</v>
      </c>
      <c r="G8" s="9">
        <v>15000</v>
      </c>
      <c r="H8" s="9">
        <v>15000</v>
      </c>
      <c r="I8" s="9">
        <v>14000</v>
      </c>
      <c r="J8" s="9">
        <v>14000</v>
      </c>
      <c r="K8" s="9">
        <v>14000</v>
      </c>
      <c r="L8" s="9">
        <v>13452</v>
      </c>
      <c r="M8" s="9">
        <v>25754</v>
      </c>
      <c r="R8" s="2">
        <v>30000</v>
      </c>
    </row>
    <row r="9" spans="1:22" x14ac:dyDescent="0.25">
      <c r="A9" s="5">
        <v>52200</v>
      </c>
      <c r="B9" t="s">
        <v>55</v>
      </c>
      <c r="E9" s="2">
        <v>12032.97</v>
      </c>
      <c r="F9" s="2">
        <v>12050</v>
      </c>
      <c r="G9" s="2">
        <v>15375</v>
      </c>
      <c r="H9" s="2">
        <v>12050</v>
      </c>
      <c r="I9" s="2">
        <v>14550</v>
      </c>
      <c r="J9" s="2">
        <v>14700</v>
      </c>
      <c r="K9" s="2">
        <v>15000</v>
      </c>
      <c r="L9" s="2">
        <v>10036</v>
      </c>
      <c r="M9" s="2">
        <v>7439</v>
      </c>
      <c r="O9" s="8"/>
      <c r="R9" s="2">
        <v>18540.060000000001</v>
      </c>
    </row>
    <row r="10" spans="1:22" x14ac:dyDescent="0.25">
      <c r="A10" s="5">
        <v>52300</v>
      </c>
      <c r="B10" t="s">
        <v>56</v>
      </c>
      <c r="E10" s="2">
        <v>24474.91</v>
      </c>
      <c r="F10" s="2">
        <v>26050</v>
      </c>
      <c r="G10" s="2">
        <v>33300</v>
      </c>
      <c r="H10" s="2">
        <v>26050</v>
      </c>
      <c r="I10" s="2">
        <v>33400</v>
      </c>
      <c r="J10" s="2">
        <v>35700</v>
      </c>
      <c r="K10" s="2">
        <v>37750</v>
      </c>
      <c r="L10" s="2">
        <v>19491</v>
      </c>
      <c r="M10" s="2">
        <v>16569</v>
      </c>
      <c r="O10" s="8"/>
      <c r="R10" s="2">
        <v>14465.32</v>
      </c>
    </row>
    <row r="11" spans="1:22" x14ac:dyDescent="0.25">
      <c r="A11" s="5">
        <v>52500</v>
      </c>
      <c r="B11" t="s">
        <v>195</v>
      </c>
      <c r="E11" s="2">
        <v>0</v>
      </c>
      <c r="F11" s="2">
        <v>0</v>
      </c>
      <c r="G11" s="2">
        <v>0</v>
      </c>
      <c r="H11" s="2"/>
      <c r="I11" s="2">
        <v>0</v>
      </c>
      <c r="J11" s="2">
        <v>0</v>
      </c>
      <c r="K11" s="2">
        <v>0</v>
      </c>
      <c r="L11" s="2">
        <v>110</v>
      </c>
      <c r="M11" s="2">
        <v>8</v>
      </c>
      <c r="O11" s="8"/>
      <c r="R11" s="2"/>
    </row>
    <row r="12" spans="1:22" x14ac:dyDescent="0.25">
      <c r="A12" s="5">
        <v>52600</v>
      </c>
      <c r="B12" t="s">
        <v>57</v>
      </c>
      <c r="E12" s="2">
        <v>1571.32</v>
      </c>
      <c r="F12" s="9">
        <v>1500</v>
      </c>
      <c r="G12" s="9">
        <v>1500</v>
      </c>
      <c r="H12" s="9">
        <v>1500</v>
      </c>
      <c r="I12" s="9">
        <v>1500</v>
      </c>
      <c r="J12" s="9">
        <v>1500</v>
      </c>
      <c r="K12" s="9">
        <v>1500</v>
      </c>
      <c r="L12" s="2">
        <v>2122</v>
      </c>
      <c r="M12" s="2">
        <v>1073</v>
      </c>
      <c r="R12" t="s">
        <v>178</v>
      </c>
    </row>
    <row r="13" spans="1:22" x14ac:dyDescent="0.25">
      <c r="A13" s="5">
        <v>53201</v>
      </c>
      <c r="B13" t="s">
        <v>116</v>
      </c>
      <c r="E13" s="2">
        <v>500</v>
      </c>
      <c r="F13" s="2">
        <v>100</v>
      </c>
      <c r="G13" s="2">
        <v>100</v>
      </c>
      <c r="H13" s="2">
        <v>100</v>
      </c>
      <c r="I13" s="2">
        <v>100</v>
      </c>
      <c r="J13" s="2">
        <v>100</v>
      </c>
      <c r="K13" s="2">
        <v>100</v>
      </c>
      <c r="L13" s="2">
        <v>17</v>
      </c>
      <c r="M13" s="2">
        <v>74</v>
      </c>
    </row>
    <row r="14" spans="1:22" x14ac:dyDescent="0.25">
      <c r="A14" s="5">
        <v>53300</v>
      </c>
      <c r="B14" t="s">
        <v>58</v>
      </c>
      <c r="E14" s="2">
        <v>7200</v>
      </c>
      <c r="F14" s="2">
        <v>7200</v>
      </c>
      <c r="G14" s="2">
        <v>7200</v>
      </c>
      <c r="H14" s="2">
        <v>7200</v>
      </c>
      <c r="I14" s="2">
        <v>7200</v>
      </c>
      <c r="J14" s="2">
        <v>7200</v>
      </c>
      <c r="K14" s="2">
        <v>7200</v>
      </c>
      <c r="L14" s="2">
        <v>8452</v>
      </c>
      <c r="M14" s="2">
        <v>4252</v>
      </c>
      <c r="O14" t="s">
        <v>179</v>
      </c>
      <c r="R14">
        <v>118500</v>
      </c>
      <c r="V14">
        <f>196000*0.0765</f>
        <v>14994</v>
      </c>
    </row>
    <row r="15" spans="1:22" x14ac:dyDescent="0.25">
      <c r="A15" s="5">
        <v>53500</v>
      </c>
      <c r="B15" t="s">
        <v>82</v>
      </c>
      <c r="E15" s="2">
        <v>600</v>
      </c>
      <c r="F15" s="9">
        <v>500</v>
      </c>
      <c r="G15" s="9">
        <v>500</v>
      </c>
      <c r="H15" s="9">
        <v>500</v>
      </c>
      <c r="I15" s="9">
        <v>500</v>
      </c>
      <c r="J15" s="9">
        <v>500</v>
      </c>
      <c r="K15" s="9">
        <v>500</v>
      </c>
      <c r="L15" s="2">
        <v>388</v>
      </c>
      <c r="M15" s="2">
        <v>185</v>
      </c>
    </row>
    <row r="16" spans="1:22" x14ac:dyDescent="0.25">
      <c r="A16" s="5">
        <v>53710</v>
      </c>
      <c r="B16" t="s">
        <v>83</v>
      </c>
      <c r="E16" s="2">
        <v>1200</v>
      </c>
      <c r="F16" s="2">
        <v>800</v>
      </c>
      <c r="G16" s="2">
        <v>1200</v>
      </c>
      <c r="H16" s="2">
        <v>1200</v>
      </c>
      <c r="I16" s="2">
        <v>1200</v>
      </c>
      <c r="J16" s="2">
        <v>1200</v>
      </c>
      <c r="K16" s="2">
        <v>1200</v>
      </c>
      <c r="L16" s="2">
        <v>0</v>
      </c>
      <c r="M16" s="2">
        <v>0</v>
      </c>
    </row>
    <row r="17" spans="1:18" x14ac:dyDescent="0.25">
      <c r="A17" s="5">
        <v>54302</v>
      </c>
      <c r="B17" t="s">
        <v>84</v>
      </c>
      <c r="E17" s="2">
        <v>11568.88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">
        <v>0</v>
      </c>
      <c r="M17" s="2">
        <v>175</v>
      </c>
    </row>
    <row r="18" spans="1:18" x14ac:dyDescent="0.25">
      <c r="A18" s="5">
        <v>54303</v>
      </c>
      <c r="B18" t="s">
        <v>85</v>
      </c>
      <c r="E18" s="2">
        <v>14000</v>
      </c>
      <c r="F18" s="2">
        <v>9000</v>
      </c>
      <c r="G18" s="2">
        <v>9000</v>
      </c>
      <c r="H18" s="2">
        <v>9000</v>
      </c>
      <c r="I18" s="2">
        <v>9000</v>
      </c>
      <c r="J18" s="2">
        <v>7000</v>
      </c>
      <c r="K18" s="2">
        <v>7000</v>
      </c>
      <c r="L18" s="2">
        <v>38846</v>
      </c>
      <c r="M18" s="2">
        <v>16578</v>
      </c>
    </row>
    <row r="19" spans="1:18" x14ac:dyDescent="0.25">
      <c r="A19" s="5">
        <v>54304</v>
      </c>
      <c r="B19" t="s">
        <v>86</v>
      </c>
      <c r="E19" s="2">
        <v>200</v>
      </c>
      <c r="F19" s="2">
        <v>200</v>
      </c>
      <c r="G19" s="2">
        <v>200</v>
      </c>
      <c r="H19" s="2">
        <v>200</v>
      </c>
      <c r="I19" s="2">
        <v>200</v>
      </c>
      <c r="J19" s="2">
        <v>0</v>
      </c>
      <c r="K19" s="2">
        <v>0</v>
      </c>
      <c r="L19" s="2">
        <v>11</v>
      </c>
      <c r="M19" s="2">
        <v>0</v>
      </c>
    </row>
    <row r="20" spans="1:18" x14ac:dyDescent="0.25">
      <c r="A20" s="5">
        <v>54305</v>
      </c>
      <c r="B20" t="s">
        <v>59</v>
      </c>
      <c r="E20" s="2">
        <v>108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</row>
    <row r="21" spans="1:18" x14ac:dyDescent="0.25">
      <c r="A21" s="5">
        <v>54307</v>
      </c>
      <c r="B21" t="s">
        <v>60</v>
      </c>
      <c r="E21" s="2">
        <v>4932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">
        <v>0</v>
      </c>
      <c r="M21" s="2">
        <v>-3201</v>
      </c>
    </row>
    <row r="22" spans="1:18" x14ac:dyDescent="0.25">
      <c r="A22" s="5">
        <v>55200</v>
      </c>
      <c r="B22" t="s">
        <v>61</v>
      </c>
      <c r="E22" s="2">
        <v>3725.58</v>
      </c>
      <c r="F22" s="9">
        <v>4500</v>
      </c>
      <c r="G22" s="9">
        <v>4500</v>
      </c>
      <c r="H22" s="9">
        <v>4500</v>
      </c>
      <c r="I22" s="9">
        <v>4500</v>
      </c>
      <c r="J22" s="9">
        <v>4500</v>
      </c>
      <c r="K22" s="9">
        <v>6500</v>
      </c>
      <c r="L22" s="2">
        <v>7041</v>
      </c>
      <c r="M22" s="2">
        <v>3770</v>
      </c>
    </row>
    <row r="23" spans="1:18" x14ac:dyDescent="0.25">
      <c r="A23" s="5">
        <v>55300</v>
      </c>
      <c r="B23" t="s">
        <v>87</v>
      </c>
      <c r="E23" s="2">
        <v>18538</v>
      </c>
      <c r="F23" s="2">
        <v>19500</v>
      </c>
      <c r="G23" s="2">
        <v>19500</v>
      </c>
      <c r="H23" s="2">
        <v>19500</v>
      </c>
      <c r="I23" s="2">
        <v>19500</v>
      </c>
      <c r="J23" s="2">
        <v>19500</v>
      </c>
      <c r="K23" s="2">
        <v>19500</v>
      </c>
      <c r="L23" s="2">
        <v>23464</v>
      </c>
      <c r="M23" s="2">
        <v>14573</v>
      </c>
    </row>
    <row r="24" spans="1:18" x14ac:dyDescent="0.25">
      <c r="A24" s="5">
        <v>55301</v>
      </c>
      <c r="B24" t="s">
        <v>62</v>
      </c>
      <c r="E24" s="2">
        <v>2600</v>
      </c>
      <c r="F24" s="2">
        <v>2650</v>
      </c>
      <c r="G24" s="2">
        <v>2000</v>
      </c>
      <c r="H24" s="2">
        <v>2000</v>
      </c>
      <c r="I24" s="2">
        <v>3000</v>
      </c>
      <c r="J24" s="2">
        <v>2450</v>
      </c>
      <c r="K24" s="2">
        <v>2450</v>
      </c>
      <c r="L24" s="2">
        <v>3097</v>
      </c>
      <c r="M24" s="2">
        <v>2280</v>
      </c>
    </row>
    <row r="25" spans="1:18" x14ac:dyDescent="0.25">
      <c r="A25" s="5">
        <v>55400</v>
      </c>
      <c r="B25" t="s">
        <v>88</v>
      </c>
      <c r="E25" s="2">
        <v>2400</v>
      </c>
      <c r="F25" s="2">
        <v>1500</v>
      </c>
      <c r="G25" s="2">
        <v>1500</v>
      </c>
      <c r="H25" s="2">
        <v>1500</v>
      </c>
      <c r="I25" s="2">
        <v>1500</v>
      </c>
      <c r="J25" s="2">
        <v>1500</v>
      </c>
      <c r="K25" s="2">
        <v>1500</v>
      </c>
      <c r="L25" s="2">
        <v>1998</v>
      </c>
      <c r="M25" s="2">
        <v>1738</v>
      </c>
    </row>
    <row r="26" spans="1:18" x14ac:dyDescent="0.25">
      <c r="A26" s="5">
        <v>55465</v>
      </c>
      <c r="B26" t="s">
        <v>133</v>
      </c>
      <c r="E26" s="2"/>
      <c r="F26" s="2">
        <v>500</v>
      </c>
      <c r="G26" s="2">
        <v>600</v>
      </c>
      <c r="H26" s="2">
        <v>600</v>
      </c>
      <c r="I26" s="2">
        <v>600</v>
      </c>
      <c r="J26" s="2">
        <v>600</v>
      </c>
      <c r="K26" s="2">
        <v>600</v>
      </c>
      <c r="L26" s="2">
        <v>535</v>
      </c>
      <c r="M26" s="2">
        <v>85</v>
      </c>
    </row>
    <row r="27" spans="1:18" x14ac:dyDescent="0.25">
      <c r="A27" s="5">
        <v>55500</v>
      </c>
      <c r="B27" t="s">
        <v>63</v>
      </c>
      <c r="E27" s="2">
        <v>9664.2000000000007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">
        <v>0</v>
      </c>
      <c r="M27" s="2">
        <v>0</v>
      </c>
      <c r="R27">
        <f>192250*0.1941</f>
        <v>37315.724999999999</v>
      </c>
    </row>
    <row r="28" spans="1:18" x14ac:dyDescent="0.25">
      <c r="A28" s="5">
        <v>55600</v>
      </c>
      <c r="B28" t="s">
        <v>65</v>
      </c>
      <c r="E28" s="2">
        <v>3000</v>
      </c>
      <c r="F28" s="2">
        <v>3000</v>
      </c>
      <c r="G28" s="2">
        <v>3000</v>
      </c>
      <c r="H28" s="2">
        <v>3000</v>
      </c>
      <c r="I28" s="2">
        <v>3000</v>
      </c>
      <c r="J28" s="2">
        <v>3000</v>
      </c>
      <c r="K28" s="2">
        <v>3000</v>
      </c>
      <c r="L28" s="2">
        <v>2407</v>
      </c>
      <c r="M28" s="2">
        <v>4980</v>
      </c>
    </row>
    <row r="29" spans="1:18" x14ac:dyDescent="0.25">
      <c r="A29" s="5">
        <v>55601</v>
      </c>
      <c r="B29" t="s">
        <v>89</v>
      </c>
      <c r="E29" s="2">
        <v>500</v>
      </c>
      <c r="F29" s="2">
        <v>500</v>
      </c>
      <c r="G29" s="2">
        <v>500</v>
      </c>
      <c r="H29" s="2">
        <v>500</v>
      </c>
      <c r="I29" s="2">
        <v>500</v>
      </c>
      <c r="J29" s="2">
        <v>500</v>
      </c>
      <c r="K29" s="2">
        <v>500</v>
      </c>
      <c r="L29" s="2">
        <v>2969</v>
      </c>
      <c r="M29" s="2">
        <v>300</v>
      </c>
    </row>
    <row r="30" spans="1:18" x14ac:dyDescent="0.25">
      <c r="A30" s="5">
        <v>55720</v>
      </c>
      <c r="B30" t="s">
        <v>66</v>
      </c>
      <c r="E30" s="2">
        <v>800</v>
      </c>
      <c r="F30" s="2">
        <v>615</v>
      </c>
      <c r="G30" s="2">
        <v>615</v>
      </c>
      <c r="H30" s="2">
        <v>615</v>
      </c>
      <c r="I30" s="2">
        <v>600</v>
      </c>
      <c r="J30" s="2">
        <v>600</v>
      </c>
      <c r="K30" s="2">
        <v>600</v>
      </c>
      <c r="L30" s="2">
        <v>1617</v>
      </c>
      <c r="M30" s="2">
        <v>225</v>
      </c>
    </row>
    <row r="31" spans="1:18" x14ac:dyDescent="0.25">
      <c r="A31" s="5">
        <v>55721</v>
      </c>
      <c r="B31" t="s">
        <v>90</v>
      </c>
      <c r="E31" s="2">
        <v>700</v>
      </c>
      <c r="F31" s="2">
        <v>700</v>
      </c>
      <c r="G31" s="2">
        <v>500</v>
      </c>
      <c r="H31" s="2">
        <v>500</v>
      </c>
      <c r="I31" s="2">
        <v>500</v>
      </c>
      <c r="J31" s="2">
        <v>500</v>
      </c>
      <c r="K31" s="2">
        <v>500</v>
      </c>
      <c r="L31" s="2">
        <v>225</v>
      </c>
      <c r="M31" s="2">
        <v>905</v>
      </c>
    </row>
    <row r="32" spans="1:18" x14ac:dyDescent="0.25">
      <c r="A32" s="5">
        <v>55830</v>
      </c>
      <c r="B32" t="s">
        <v>67</v>
      </c>
      <c r="E32" s="2">
        <v>0</v>
      </c>
      <c r="F32" s="2">
        <v>100</v>
      </c>
      <c r="G32" s="2">
        <v>100</v>
      </c>
      <c r="H32" s="2">
        <v>100</v>
      </c>
      <c r="I32" s="2">
        <v>100</v>
      </c>
      <c r="J32" s="2">
        <v>100</v>
      </c>
      <c r="K32" s="2">
        <v>100</v>
      </c>
      <c r="L32" s="2">
        <v>220</v>
      </c>
      <c r="M32" s="2">
        <v>0</v>
      </c>
    </row>
    <row r="33" spans="1:13" x14ac:dyDescent="0.25">
      <c r="A33" s="5">
        <v>55832</v>
      </c>
      <c r="B33" t="s">
        <v>91</v>
      </c>
      <c r="E33" s="2">
        <v>900</v>
      </c>
      <c r="F33" s="2">
        <v>900</v>
      </c>
      <c r="G33" s="2">
        <v>500</v>
      </c>
      <c r="H33" s="2">
        <v>500</v>
      </c>
      <c r="I33" s="2">
        <v>500</v>
      </c>
      <c r="J33" s="2">
        <v>500</v>
      </c>
      <c r="K33" s="2">
        <v>500</v>
      </c>
      <c r="L33" s="2">
        <v>423</v>
      </c>
      <c r="M33" s="2">
        <v>156</v>
      </c>
    </row>
    <row r="34" spans="1:13" x14ac:dyDescent="0.25">
      <c r="A34" s="5">
        <v>55840</v>
      </c>
      <c r="B34" t="s">
        <v>68</v>
      </c>
      <c r="E34" s="2">
        <v>1000</v>
      </c>
      <c r="F34" s="2">
        <v>500</v>
      </c>
      <c r="G34" s="2">
        <v>500</v>
      </c>
      <c r="H34" s="2">
        <v>500</v>
      </c>
      <c r="I34" s="2">
        <v>500</v>
      </c>
      <c r="J34" s="2">
        <v>500</v>
      </c>
      <c r="K34" s="2">
        <v>500</v>
      </c>
      <c r="L34" s="2">
        <v>341</v>
      </c>
      <c r="M34" s="2">
        <v>18</v>
      </c>
    </row>
    <row r="35" spans="1:13" x14ac:dyDescent="0.25">
      <c r="A35" s="5">
        <v>55841</v>
      </c>
      <c r="B35" t="s">
        <v>92</v>
      </c>
      <c r="E35" s="2">
        <v>1600</v>
      </c>
      <c r="F35" s="2">
        <v>1500</v>
      </c>
      <c r="G35" s="2">
        <v>1200</v>
      </c>
      <c r="H35" s="2">
        <v>1200</v>
      </c>
      <c r="I35" s="2">
        <v>1200</v>
      </c>
      <c r="J35" s="2">
        <v>1200</v>
      </c>
      <c r="K35" s="2">
        <v>1200</v>
      </c>
      <c r="L35" s="2">
        <v>1593</v>
      </c>
      <c r="M35" s="2">
        <v>1818</v>
      </c>
    </row>
    <row r="36" spans="1:13" x14ac:dyDescent="0.25">
      <c r="A36" s="5">
        <v>55850</v>
      </c>
      <c r="B36" t="s">
        <v>69</v>
      </c>
      <c r="E36" s="2">
        <v>300</v>
      </c>
      <c r="F36" s="2">
        <v>150</v>
      </c>
      <c r="G36" s="2">
        <v>150</v>
      </c>
      <c r="H36" s="2">
        <v>150</v>
      </c>
      <c r="I36" s="2">
        <v>150</v>
      </c>
      <c r="J36" s="2">
        <v>150</v>
      </c>
      <c r="K36" s="2">
        <v>150</v>
      </c>
      <c r="L36" s="2">
        <v>93</v>
      </c>
      <c r="M36" s="2">
        <v>0</v>
      </c>
    </row>
    <row r="37" spans="1:13" x14ac:dyDescent="0.25">
      <c r="A37" s="5">
        <v>55851</v>
      </c>
      <c r="B37" t="s">
        <v>93</v>
      </c>
      <c r="E37" s="2">
        <v>600</v>
      </c>
      <c r="F37" s="2">
        <v>500</v>
      </c>
      <c r="G37" s="2">
        <v>400</v>
      </c>
      <c r="H37" s="2">
        <v>400</v>
      </c>
      <c r="I37" s="2">
        <v>400</v>
      </c>
      <c r="J37" s="2">
        <v>400</v>
      </c>
      <c r="K37" s="2">
        <v>400</v>
      </c>
      <c r="L37" s="2">
        <v>0</v>
      </c>
      <c r="M37" s="2">
        <v>0</v>
      </c>
    </row>
    <row r="38" spans="1:13" x14ac:dyDescent="0.25">
      <c r="A38" s="5">
        <v>55900</v>
      </c>
      <c r="B38" t="s">
        <v>70</v>
      </c>
      <c r="E38" s="2">
        <v>700</v>
      </c>
      <c r="F38" s="2">
        <v>300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1266</v>
      </c>
      <c r="M38" s="2">
        <v>309</v>
      </c>
    </row>
    <row r="39" spans="1:13" x14ac:dyDescent="0.25">
      <c r="A39" s="5">
        <v>55901</v>
      </c>
      <c r="B39" t="s">
        <v>94</v>
      </c>
      <c r="E39" s="2">
        <v>750</v>
      </c>
      <c r="F39" s="2">
        <v>1000</v>
      </c>
      <c r="G39" s="2">
        <v>1300</v>
      </c>
      <c r="H39" s="2">
        <v>1300</v>
      </c>
      <c r="I39" s="2">
        <v>1300</v>
      </c>
      <c r="J39" s="2">
        <v>1300</v>
      </c>
      <c r="K39" s="2">
        <v>1300</v>
      </c>
      <c r="L39" s="2">
        <v>1068</v>
      </c>
      <c r="M39" s="2">
        <v>316</v>
      </c>
    </row>
    <row r="40" spans="1:13" x14ac:dyDescent="0.25">
      <c r="A40" s="5">
        <v>56100</v>
      </c>
      <c r="B40" t="s">
        <v>95</v>
      </c>
      <c r="E40" s="2">
        <v>1800</v>
      </c>
      <c r="F40" s="2">
        <v>1800</v>
      </c>
      <c r="G40" s="2">
        <v>1800</v>
      </c>
      <c r="H40" s="2">
        <v>1800</v>
      </c>
      <c r="I40" s="2">
        <v>1800</v>
      </c>
      <c r="J40" s="2">
        <v>1800</v>
      </c>
      <c r="K40" s="2">
        <v>1800</v>
      </c>
      <c r="L40" s="2">
        <v>5211</v>
      </c>
      <c r="M40" s="2">
        <v>2365</v>
      </c>
    </row>
    <row r="41" spans="1:13" x14ac:dyDescent="0.25">
      <c r="A41" s="5">
        <v>56102</v>
      </c>
      <c r="B41" t="s">
        <v>96</v>
      </c>
      <c r="E41" s="2">
        <v>500</v>
      </c>
      <c r="F41" s="2">
        <v>300</v>
      </c>
      <c r="G41" s="2">
        <v>400</v>
      </c>
      <c r="H41" s="2">
        <v>400</v>
      </c>
      <c r="I41" s="2">
        <v>400</v>
      </c>
      <c r="J41" s="2">
        <v>400</v>
      </c>
      <c r="K41" s="2">
        <v>400</v>
      </c>
      <c r="L41" s="2">
        <v>1432</v>
      </c>
      <c r="M41" s="2">
        <v>-340</v>
      </c>
    </row>
    <row r="42" spans="1:13" x14ac:dyDescent="0.25">
      <c r="A42" s="5">
        <v>56106</v>
      </c>
      <c r="B42" t="s">
        <v>134</v>
      </c>
      <c r="E42" s="2"/>
      <c r="F42" s="2">
        <v>4000</v>
      </c>
      <c r="G42" s="2">
        <v>2000</v>
      </c>
      <c r="H42" s="2">
        <v>2000</v>
      </c>
      <c r="I42" s="2">
        <v>2000</v>
      </c>
      <c r="J42" s="2">
        <v>2000</v>
      </c>
      <c r="K42" s="2">
        <v>2000</v>
      </c>
      <c r="L42" s="2">
        <v>0</v>
      </c>
      <c r="M42" s="2">
        <v>0</v>
      </c>
    </row>
    <row r="43" spans="1:13" x14ac:dyDescent="0.25">
      <c r="A43" s="5">
        <v>56220</v>
      </c>
      <c r="B43" t="s">
        <v>97</v>
      </c>
      <c r="E43" s="2">
        <v>168000</v>
      </c>
      <c r="F43" s="2">
        <v>130000</v>
      </c>
      <c r="G43" s="2">
        <v>130000</v>
      </c>
      <c r="H43" s="2">
        <v>130000</v>
      </c>
      <c r="I43" s="2">
        <v>360000</v>
      </c>
      <c r="J43" s="2">
        <v>360000</v>
      </c>
      <c r="K43" s="2">
        <v>360000</v>
      </c>
      <c r="L43" s="2">
        <v>366867</v>
      </c>
      <c r="M43" s="2">
        <v>254293</v>
      </c>
    </row>
    <row r="44" spans="1:13" x14ac:dyDescent="0.25">
      <c r="A44" s="5">
        <v>56221</v>
      </c>
      <c r="B44" t="s">
        <v>98</v>
      </c>
      <c r="E44" s="2">
        <v>2000</v>
      </c>
      <c r="F44" s="2">
        <v>2000</v>
      </c>
      <c r="G44" s="2">
        <v>2000</v>
      </c>
      <c r="H44" s="2">
        <v>2000</v>
      </c>
      <c r="I44" s="2">
        <v>2000</v>
      </c>
      <c r="J44" s="2">
        <v>2000</v>
      </c>
      <c r="K44" s="2">
        <v>2000</v>
      </c>
      <c r="L44" s="2">
        <v>3109</v>
      </c>
      <c r="M44" s="2">
        <v>1889</v>
      </c>
    </row>
    <row r="45" spans="1:13" x14ac:dyDescent="0.25">
      <c r="A45" s="5">
        <v>56222</v>
      </c>
      <c r="B45" t="s">
        <v>99</v>
      </c>
      <c r="E45" s="2">
        <v>2600</v>
      </c>
      <c r="F45" s="2">
        <v>3500</v>
      </c>
      <c r="G45" s="2">
        <v>3500</v>
      </c>
      <c r="H45" s="2">
        <v>3500</v>
      </c>
      <c r="I45" s="2">
        <v>3500</v>
      </c>
      <c r="J45" s="2">
        <v>3500</v>
      </c>
      <c r="K45" s="2">
        <v>3500</v>
      </c>
      <c r="L45" s="2">
        <v>2795</v>
      </c>
      <c r="M45" s="2">
        <v>3461</v>
      </c>
    </row>
    <row r="46" spans="1:13" x14ac:dyDescent="0.25">
      <c r="A46" s="5">
        <v>56260</v>
      </c>
      <c r="B46" t="s">
        <v>100</v>
      </c>
      <c r="E46" s="2">
        <v>500</v>
      </c>
      <c r="F46" s="2">
        <v>600</v>
      </c>
      <c r="G46" s="2">
        <v>600</v>
      </c>
      <c r="H46" s="2">
        <v>600</v>
      </c>
      <c r="I46" s="2">
        <v>600</v>
      </c>
      <c r="J46" s="2">
        <v>600</v>
      </c>
      <c r="K46" s="2">
        <v>600</v>
      </c>
      <c r="L46" s="2">
        <v>3622</v>
      </c>
      <c r="M46" s="2">
        <v>687</v>
      </c>
    </row>
    <row r="47" spans="1:13" x14ac:dyDescent="0.25">
      <c r="A47" s="5">
        <v>56500</v>
      </c>
      <c r="B47" t="s">
        <v>71</v>
      </c>
      <c r="E47" s="2">
        <v>250</v>
      </c>
      <c r="F47" s="2">
        <v>250</v>
      </c>
      <c r="G47" s="2">
        <v>250</v>
      </c>
      <c r="H47" s="2">
        <v>250</v>
      </c>
      <c r="I47" s="2">
        <v>250</v>
      </c>
      <c r="J47" s="2">
        <v>250</v>
      </c>
      <c r="K47" s="2">
        <v>250</v>
      </c>
      <c r="L47" s="2">
        <v>71</v>
      </c>
      <c r="M47" s="2">
        <v>71</v>
      </c>
    </row>
    <row r="48" spans="1:13" x14ac:dyDescent="0.25">
      <c r="A48" s="5">
        <v>56502</v>
      </c>
      <c r="B48" t="s">
        <v>101</v>
      </c>
      <c r="E48" s="2">
        <v>600</v>
      </c>
      <c r="F48" s="2">
        <v>600</v>
      </c>
      <c r="G48" s="2">
        <v>600</v>
      </c>
      <c r="H48" s="2">
        <v>600</v>
      </c>
      <c r="I48" s="2">
        <v>600</v>
      </c>
      <c r="J48" s="2">
        <v>600</v>
      </c>
      <c r="K48" s="2">
        <v>600</v>
      </c>
      <c r="L48" s="2">
        <v>327</v>
      </c>
      <c r="M48" s="2">
        <v>1361</v>
      </c>
    </row>
    <row r="49" spans="1:15" x14ac:dyDescent="0.25">
      <c r="A49" s="5">
        <v>56503</v>
      </c>
      <c r="B49" t="s">
        <v>102</v>
      </c>
      <c r="E49" s="9">
        <v>22500</v>
      </c>
      <c r="F49" s="9">
        <v>33600</v>
      </c>
      <c r="G49" s="9">
        <v>36000</v>
      </c>
      <c r="H49" s="9">
        <v>36000</v>
      </c>
      <c r="I49" s="9">
        <v>36000</v>
      </c>
      <c r="J49" s="9">
        <v>36000</v>
      </c>
      <c r="K49" s="9">
        <v>36000</v>
      </c>
      <c r="L49" s="2">
        <v>40905</v>
      </c>
      <c r="M49" s="2">
        <v>25112</v>
      </c>
    </row>
    <row r="50" spans="1:15" x14ac:dyDescent="0.25">
      <c r="A50" s="5">
        <v>57900</v>
      </c>
      <c r="B50" t="s">
        <v>103</v>
      </c>
      <c r="E50" s="2">
        <v>3500</v>
      </c>
      <c r="F50" s="2">
        <v>783400</v>
      </c>
      <c r="G50" s="2">
        <v>0</v>
      </c>
      <c r="H50" s="2">
        <v>0</v>
      </c>
      <c r="I50" s="2">
        <v>50000</v>
      </c>
      <c r="J50" s="2">
        <v>0</v>
      </c>
      <c r="K50" s="2">
        <v>0</v>
      </c>
      <c r="L50" s="2">
        <v>0</v>
      </c>
      <c r="M50" s="2">
        <v>0</v>
      </c>
    </row>
    <row r="51" spans="1:15" x14ac:dyDescent="0.25">
      <c r="A51" s="5">
        <v>58013</v>
      </c>
      <c r="B51" t="s">
        <v>104</v>
      </c>
      <c r="E51" s="2">
        <v>6000</v>
      </c>
      <c r="F51" s="2">
        <v>6000</v>
      </c>
      <c r="G51" s="2">
        <v>10000</v>
      </c>
      <c r="H51" s="2">
        <v>2000</v>
      </c>
      <c r="I51" s="2">
        <v>2000</v>
      </c>
      <c r="J51" s="2">
        <v>2000</v>
      </c>
      <c r="K51" s="2">
        <v>2000</v>
      </c>
      <c r="L51" s="2">
        <f>1276+1166</f>
        <v>2442</v>
      </c>
      <c r="M51" s="2">
        <v>1002</v>
      </c>
    </row>
    <row r="52" spans="1:15" x14ac:dyDescent="0.25">
      <c r="A52" s="5">
        <v>59300</v>
      </c>
      <c r="B52" t="s">
        <v>132</v>
      </c>
      <c r="E52" s="2">
        <v>20000</v>
      </c>
      <c r="F52" s="9">
        <v>5000</v>
      </c>
      <c r="G52" s="9">
        <v>5000</v>
      </c>
      <c r="H52" s="9">
        <v>5000</v>
      </c>
      <c r="I52" s="9">
        <v>0</v>
      </c>
      <c r="J52" s="9">
        <v>0</v>
      </c>
      <c r="K52" s="9">
        <v>0</v>
      </c>
      <c r="L52" s="2">
        <v>0</v>
      </c>
      <c r="M52" s="2">
        <v>9084</v>
      </c>
    </row>
    <row r="53" spans="1:15" x14ac:dyDescent="0.25">
      <c r="A53" s="5"/>
      <c r="B53" t="s">
        <v>185</v>
      </c>
      <c r="E53" s="2"/>
      <c r="F53" s="9"/>
      <c r="G53" s="9"/>
      <c r="H53" s="9"/>
      <c r="I53" s="9">
        <f>65000-16000</f>
        <v>49000</v>
      </c>
      <c r="J53" s="9">
        <f>281035+5675+50000+32300-67450+4405</f>
        <v>305965</v>
      </c>
      <c r="K53" s="9">
        <v>119076</v>
      </c>
      <c r="L53" s="2">
        <f>345+83+668</f>
        <v>1096</v>
      </c>
      <c r="M53" s="2">
        <f>781+29+1035+57+26006</f>
        <v>27908</v>
      </c>
    </row>
    <row r="54" spans="1:15" ht="17.25" x14ac:dyDescent="0.4">
      <c r="A54" s="5">
        <v>59605</v>
      </c>
      <c r="B54" t="s">
        <v>135</v>
      </c>
      <c r="E54" s="4">
        <v>0</v>
      </c>
      <c r="F54" s="10">
        <v>25000</v>
      </c>
      <c r="G54" s="10">
        <v>50000</v>
      </c>
      <c r="H54" s="10">
        <v>15000</v>
      </c>
      <c r="I54" s="10">
        <v>0</v>
      </c>
      <c r="J54" s="10">
        <v>0</v>
      </c>
      <c r="K54" s="10">
        <v>0</v>
      </c>
      <c r="L54" s="10">
        <v>9020</v>
      </c>
      <c r="M54" s="10">
        <v>855</v>
      </c>
    </row>
    <row r="55" spans="1:15" x14ac:dyDescent="0.25">
      <c r="A55" s="5"/>
      <c r="E55" s="2"/>
      <c r="F55" s="2"/>
      <c r="G55" s="2"/>
      <c r="H55" s="2"/>
      <c r="I55" s="2"/>
      <c r="J55" s="2"/>
      <c r="K55" s="2"/>
    </row>
    <row r="56" spans="1:15" ht="17.25" x14ac:dyDescent="0.4">
      <c r="A56" s="5"/>
      <c r="B56" s="1" t="s">
        <v>81</v>
      </c>
      <c r="E56" s="7">
        <f t="shared" ref="E56:M56" si="0">SUM(E7:E55)</f>
        <v>520319.62000000005</v>
      </c>
      <c r="F56" s="7">
        <f t="shared" si="0"/>
        <v>1263665</v>
      </c>
      <c r="G56" s="7">
        <f t="shared" si="0"/>
        <v>563640</v>
      </c>
      <c r="H56" s="7">
        <f t="shared" si="0"/>
        <v>496515</v>
      </c>
      <c r="I56" s="7">
        <f t="shared" si="0"/>
        <v>818050</v>
      </c>
      <c r="J56" s="7">
        <f t="shared" si="0"/>
        <v>1026965</v>
      </c>
      <c r="K56" s="7">
        <f t="shared" si="0"/>
        <v>848176</v>
      </c>
      <c r="L56" s="7">
        <f t="shared" si="0"/>
        <v>945321</v>
      </c>
      <c r="M56" s="7">
        <f t="shared" si="0"/>
        <v>559462</v>
      </c>
      <c r="O56" s="26">
        <f>M56/J56</f>
        <v>0.54477221716416824</v>
      </c>
    </row>
    <row r="58" spans="1:15" x14ac:dyDescent="0.25">
      <c r="F58" s="14"/>
    </row>
  </sheetData>
  <mergeCells count="1">
    <mergeCell ref="B6:D6"/>
  </mergeCells>
  <phoneticPr fontId="7" type="noConversion"/>
  <pageMargins left="0.25" right="0.25" top="0.75" bottom="0.75" header="0.3" footer="0.3"/>
  <pageSetup scale="5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E668-D54D-40F3-83FC-A98A676B0171}">
  <sheetPr>
    <pageSetUpPr fitToPage="1"/>
  </sheetPr>
  <dimension ref="A1:R33"/>
  <sheetViews>
    <sheetView topLeftCell="A4" workbookViewId="0">
      <selection activeCell="T20" sqref="T20"/>
    </sheetView>
  </sheetViews>
  <sheetFormatPr defaultRowHeight="15" x14ac:dyDescent="0.25"/>
  <cols>
    <col min="5" max="5" width="3.85546875" customWidth="1"/>
    <col min="6" max="7" width="14" customWidth="1"/>
    <col min="8" max="8" width="12.5703125" bestFit="1" customWidth="1"/>
    <col min="9" max="11" width="12.5703125" customWidth="1"/>
    <col min="12" max="13" width="13.7109375" customWidth="1"/>
    <col min="14" max="16" width="3.5703125" customWidth="1"/>
  </cols>
  <sheetData>
    <row r="1" spans="1:18" x14ac:dyDescent="0.25">
      <c r="A1" t="s">
        <v>204</v>
      </c>
    </row>
    <row r="2" spans="1:18" x14ac:dyDescent="0.25">
      <c r="A2" t="s">
        <v>142</v>
      </c>
    </row>
    <row r="5" spans="1:18" x14ac:dyDescent="0.25">
      <c r="A5" s="1"/>
      <c r="B5" s="1"/>
      <c r="C5" s="1"/>
      <c r="D5" s="1"/>
      <c r="E5" s="1"/>
      <c r="F5" s="11" t="s">
        <v>139</v>
      </c>
      <c r="G5" s="11" t="s">
        <v>137</v>
      </c>
      <c r="H5" s="11" t="s">
        <v>156</v>
      </c>
      <c r="I5" s="11" t="s">
        <v>171</v>
      </c>
      <c r="J5" s="11" t="s">
        <v>186</v>
      </c>
      <c r="K5" s="11" t="s">
        <v>203</v>
      </c>
      <c r="L5" s="22">
        <v>45107</v>
      </c>
      <c r="M5" s="22">
        <v>45350</v>
      </c>
    </row>
    <row r="6" spans="1:18" x14ac:dyDescent="0.25">
      <c r="A6" s="12" t="s">
        <v>46</v>
      </c>
      <c r="B6" s="33" t="s">
        <v>47</v>
      </c>
      <c r="C6" s="33"/>
      <c r="D6" s="33"/>
      <c r="E6" s="1"/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138</v>
      </c>
      <c r="L6" s="12" t="s">
        <v>167</v>
      </c>
      <c r="M6" s="12" t="s">
        <v>167</v>
      </c>
      <c r="O6" t="s">
        <v>172</v>
      </c>
    </row>
    <row r="7" spans="1:18" x14ac:dyDescent="0.25">
      <c r="A7" s="5">
        <v>51100</v>
      </c>
      <c r="B7" t="s">
        <v>53</v>
      </c>
      <c r="F7" s="2">
        <v>102554.82</v>
      </c>
      <c r="G7" s="2">
        <v>53500</v>
      </c>
      <c r="H7" s="2">
        <v>152044.6</v>
      </c>
      <c r="I7" s="2">
        <v>108200</v>
      </c>
      <c r="J7" s="2">
        <v>90000</v>
      </c>
      <c r="K7" s="2">
        <v>95000</v>
      </c>
      <c r="L7" s="2">
        <v>112487</v>
      </c>
      <c r="M7" s="2">
        <v>99422</v>
      </c>
      <c r="O7" t="s">
        <v>180</v>
      </c>
      <c r="R7">
        <v>36138</v>
      </c>
    </row>
    <row r="8" spans="1:18" x14ac:dyDescent="0.25">
      <c r="A8" s="5">
        <v>52100</v>
      </c>
      <c r="B8" t="s">
        <v>54</v>
      </c>
      <c r="F8" s="9">
        <v>13200</v>
      </c>
      <c r="G8" s="9">
        <v>14000</v>
      </c>
      <c r="H8" s="9">
        <v>20600</v>
      </c>
      <c r="I8" s="9">
        <v>19350</v>
      </c>
      <c r="J8" s="9">
        <v>12000</v>
      </c>
      <c r="K8" s="9">
        <v>12000</v>
      </c>
      <c r="L8" s="9">
        <v>14677</v>
      </c>
      <c r="M8" s="9">
        <v>7331</v>
      </c>
    </row>
    <row r="9" spans="1:18" x14ac:dyDescent="0.25">
      <c r="A9" s="5">
        <v>52200</v>
      </c>
      <c r="B9" t="s">
        <v>55</v>
      </c>
      <c r="F9" s="2">
        <v>7844.62</v>
      </c>
      <c r="G9" s="2">
        <v>4100</v>
      </c>
      <c r="H9" s="2">
        <v>8850</v>
      </c>
      <c r="I9" s="2">
        <v>8280</v>
      </c>
      <c r="J9" s="2">
        <v>6900</v>
      </c>
      <c r="K9" s="2">
        <v>7275</v>
      </c>
      <c r="L9" s="2">
        <v>7685</v>
      </c>
      <c r="M9" s="2">
        <v>5841</v>
      </c>
    </row>
    <row r="10" spans="1:18" x14ac:dyDescent="0.25">
      <c r="A10" s="5">
        <v>52300</v>
      </c>
      <c r="B10" t="s">
        <v>56</v>
      </c>
      <c r="F10" s="2">
        <v>15955.85</v>
      </c>
      <c r="G10" s="2">
        <v>8875</v>
      </c>
      <c r="H10" s="2">
        <v>23450</v>
      </c>
      <c r="I10" s="2">
        <v>19750</v>
      </c>
      <c r="J10" s="2">
        <v>16800</v>
      </c>
      <c r="K10" s="2">
        <v>18500</v>
      </c>
      <c r="L10" s="2">
        <v>14910</v>
      </c>
      <c r="M10" s="2">
        <v>12950</v>
      </c>
    </row>
    <row r="11" spans="1:18" x14ac:dyDescent="0.25">
      <c r="A11" s="5">
        <v>52600</v>
      </c>
      <c r="B11" t="s">
        <v>57</v>
      </c>
      <c r="F11" s="2">
        <v>1235.8699999999999</v>
      </c>
      <c r="G11" s="9">
        <v>1040</v>
      </c>
      <c r="H11" s="9">
        <v>1040</v>
      </c>
      <c r="I11" s="9">
        <v>1040</v>
      </c>
      <c r="J11" s="9">
        <v>1040</v>
      </c>
      <c r="K11" s="9">
        <v>1040</v>
      </c>
      <c r="L11" s="2">
        <v>1669</v>
      </c>
      <c r="M11" s="2">
        <v>844</v>
      </c>
      <c r="O11" t="s">
        <v>188</v>
      </c>
    </row>
    <row r="12" spans="1:18" x14ac:dyDescent="0.25">
      <c r="A12" s="5">
        <v>53100</v>
      </c>
      <c r="B12" t="s">
        <v>105</v>
      </c>
      <c r="F12" s="2">
        <v>28600</v>
      </c>
      <c r="G12" s="2">
        <v>20000</v>
      </c>
      <c r="H12" s="2">
        <v>20000</v>
      </c>
      <c r="I12" s="2">
        <v>20000</v>
      </c>
      <c r="J12" s="2">
        <v>20000</v>
      </c>
      <c r="K12" s="2">
        <v>20000</v>
      </c>
      <c r="L12" s="2">
        <v>22500</v>
      </c>
      <c r="M12" s="2">
        <v>0</v>
      </c>
      <c r="O12" t="s">
        <v>189</v>
      </c>
      <c r="R12">
        <v>59000</v>
      </c>
    </row>
    <row r="13" spans="1:18" x14ac:dyDescent="0.25">
      <c r="A13" s="5">
        <v>53400</v>
      </c>
      <c r="B13" t="s">
        <v>153</v>
      </c>
      <c r="F13" s="2">
        <v>0</v>
      </c>
      <c r="G13" s="2">
        <v>60000</v>
      </c>
      <c r="H13" s="2">
        <v>35000</v>
      </c>
      <c r="I13" s="2">
        <v>35000</v>
      </c>
      <c r="J13" s="2">
        <v>45000</v>
      </c>
      <c r="K13" s="2">
        <v>85000</v>
      </c>
      <c r="L13" s="2">
        <v>67176</v>
      </c>
      <c r="M13" s="2">
        <v>39944</v>
      </c>
    </row>
    <row r="14" spans="1:18" x14ac:dyDescent="0.25">
      <c r="A14" s="5">
        <v>53401</v>
      </c>
      <c r="B14" t="s">
        <v>154</v>
      </c>
      <c r="F14" s="2">
        <v>0</v>
      </c>
      <c r="G14" s="2">
        <v>40000</v>
      </c>
      <c r="H14" s="2">
        <v>20000</v>
      </c>
      <c r="I14" s="2">
        <v>20000</v>
      </c>
      <c r="J14" s="2">
        <v>0</v>
      </c>
      <c r="K14" s="2">
        <v>0</v>
      </c>
      <c r="L14" s="2">
        <v>6321</v>
      </c>
      <c r="M14" s="2">
        <v>0</v>
      </c>
    </row>
    <row r="15" spans="1:18" x14ac:dyDescent="0.25">
      <c r="A15" s="5">
        <v>54302</v>
      </c>
      <c r="B15" t="s">
        <v>84</v>
      </c>
      <c r="F15" s="2">
        <v>14263.19</v>
      </c>
      <c r="G15" s="9">
        <v>46700</v>
      </c>
      <c r="H15" s="9">
        <v>46700</v>
      </c>
      <c r="I15" s="9">
        <v>46700</v>
      </c>
      <c r="J15" s="9">
        <v>46700</v>
      </c>
      <c r="K15" s="9">
        <v>46700</v>
      </c>
      <c r="L15" s="2">
        <v>57366</v>
      </c>
      <c r="M15" s="2">
        <v>30239</v>
      </c>
    </row>
    <row r="16" spans="1:18" x14ac:dyDescent="0.25">
      <c r="A16" s="5">
        <v>54305</v>
      </c>
      <c r="B16" t="s">
        <v>59</v>
      </c>
      <c r="F16" s="2">
        <v>39.36</v>
      </c>
      <c r="G16" s="2">
        <v>500</v>
      </c>
      <c r="H16" s="2">
        <v>500</v>
      </c>
      <c r="I16" s="2">
        <v>500</v>
      </c>
      <c r="J16" s="2">
        <v>500</v>
      </c>
      <c r="K16" s="2">
        <v>500</v>
      </c>
      <c r="L16" s="2">
        <v>161</v>
      </c>
      <c r="M16" s="2">
        <v>0</v>
      </c>
    </row>
    <row r="17" spans="1:13" x14ac:dyDescent="0.25">
      <c r="A17" s="5">
        <v>54307</v>
      </c>
      <c r="B17" t="s">
        <v>60</v>
      </c>
      <c r="F17" s="2">
        <v>8177.64</v>
      </c>
      <c r="G17" s="9">
        <v>35600</v>
      </c>
      <c r="H17" s="9">
        <v>35600</v>
      </c>
      <c r="I17" s="9">
        <v>35600</v>
      </c>
      <c r="J17" s="9">
        <v>35600</v>
      </c>
      <c r="K17" s="9">
        <v>35600</v>
      </c>
      <c r="L17" s="2">
        <v>34720</v>
      </c>
      <c r="M17" s="2">
        <v>43275</v>
      </c>
    </row>
    <row r="18" spans="1:13" x14ac:dyDescent="0.25">
      <c r="A18" s="5">
        <v>55200</v>
      </c>
      <c r="B18" t="s">
        <v>61</v>
      </c>
      <c r="F18" s="2">
        <v>17324.98</v>
      </c>
      <c r="G18" s="9">
        <v>18500</v>
      </c>
      <c r="H18" s="9">
        <v>18500</v>
      </c>
      <c r="I18" s="9">
        <v>18500</v>
      </c>
      <c r="J18" s="9">
        <v>25000</v>
      </c>
      <c r="K18" s="9">
        <v>28000</v>
      </c>
      <c r="L18" s="2">
        <v>30549</v>
      </c>
      <c r="M18" s="2">
        <v>17528</v>
      </c>
    </row>
    <row r="19" spans="1:13" x14ac:dyDescent="0.25">
      <c r="A19" s="5">
        <v>55500</v>
      </c>
      <c r="B19" t="s">
        <v>63</v>
      </c>
      <c r="F19" s="2">
        <v>4932</v>
      </c>
      <c r="G19" s="9">
        <v>82000</v>
      </c>
      <c r="H19" s="9">
        <v>82000</v>
      </c>
      <c r="I19" s="9">
        <v>82000</v>
      </c>
      <c r="J19" s="9">
        <v>82000</v>
      </c>
      <c r="K19" s="9">
        <v>82000</v>
      </c>
      <c r="L19" s="2">
        <v>59477</v>
      </c>
      <c r="M19" s="2">
        <v>31445</v>
      </c>
    </row>
    <row r="20" spans="1:13" x14ac:dyDescent="0.25">
      <c r="A20" s="5">
        <v>55600</v>
      </c>
      <c r="B20" t="s">
        <v>65</v>
      </c>
      <c r="F20" s="2">
        <v>75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75</v>
      </c>
      <c r="M20" s="2">
        <v>170</v>
      </c>
    </row>
    <row r="21" spans="1:13" x14ac:dyDescent="0.25">
      <c r="A21" s="5">
        <v>55720</v>
      </c>
      <c r="B21" t="s">
        <v>66</v>
      </c>
      <c r="F21" s="2">
        <v>320</v>
      </c>
      <c r="G21" s="2">
        <v>320</v>
      </c>
      <c r="H21" s="2">
        <v>600</v>
      </c>
      <c r="I21" s="2">
        <v>600</v>
      </c>
      <c r="J21" s="2">
        <v>600</v>
      </c>
      <c r="K21" s="2">
        <v>600</v>
      </c>
      <c r="L21" s="2">
        <v>401</v>
      </c>
      <c r="M21" s="2">
        <v>0</v>
      </c>
    </row>
    <row r="22" spans="1:13" x14ac:dyDescent="0.25">
      <c r="A22" s="5">
        <v>55830</v>
      </c>
      <c r="B22" t="s">
        <v>67</v>
      </c>
      <c r="F22" s="2">
        <v>400</v>
      </c>
      <c r="G22" s="2">
        <v>300</v>
      </c>
      <c r="H22" s="2">
        <v>300</v>
      </c>
      <c r="I22" s="2">
        <v>300</v>
      </c>
      <c r="J22" s="2">
        <v>300</v>
      </c>
      <c r="K22" s="2">
        <v>300</v>
      </c>
      <c r="L22" s="2">
        <v>0</v>
      </c>
      <c r="M22" s="2">
        <v>259</v>
      </c>
    </row>
    <row r="23" spans="1:13" x14ac:dyDescent="0.25">
      <c r="A23" s="5">
        <v>55840</v>
      </c>
      <c r="B23" t="s">
        <v>68</v>
      </c>
      <c r="F23" s="2">
        <v>700</v>
      </c>
      <c r="G23" s="2">
        <v>200</v>
      </c>
      <c r="H23" s="2">
        <v>400</v>
      </c>
      <c r="I23" s="2">
        <v>400</v>
      </c>
      <c r="J23" s="2">
        <v>400</v>
      </c>
      <c r="K23" s="2">
        <v>400</v>
      </c>
      <c r="L23" s="2">
        <v>568</v>
      </c>
      <c r="M23" s="2">
        <v>339</v>
      </c>
    </row>
    <row r="24" spans="1:13" x14ac:dyDescent="0.25">
      <c r="A24" s="5">
        <v>55850</v>
      </c>
      <c r="B24" t="s">
        <v>69</v>
      </c>
      <c r="F24" s="2">
        <v>150</v>
      </c>
      <c r="G24" s="2">
        <v>150</v>
      </c>
      <c r="H24" s="2">
        <v>150</v>
      </c>
      <c r="I24" s="2">
        <v>150</v>
      </c>
      <c r="J24" s="2">
        <v>150</v>
      </c>
      <c r="K24" s="2">
        <v>150</v>
      </c>
      <c r="L24" s="2">
        <v>0</v>
      </c>
      <c r="M24" s="2">
        <v>100</v>
      </c>
    </row>
    <row r="25" spans="1:13" x14ac:dyDescent="0.25">
      <c r="A25" s="5">
        <v>55900</v>
      </c>
      <c r="B25" t="s">
        <v>70</v>
      </c>
      <c r="F25" s="2">
        <v>1700</v>
      </c>
      <c r="G25" s="2">
        <v>1200</v>
      </c>
      <c r="H25" s="2">
        <v>1200</v>
      </c>
      <c r="I25" s="2">
        <v>1200</v>
      </c>
      <c r="J25" s="2">
        <v>1200</v>
      </c>
      <c r="K25" s="2">
        <v>1200</v>
      </c>
      <c r="L25" s="2">
        <f>808+2089</f>
        <v>2897</v>
      </c>
      <c r="M25" s="2">
        <f>458+26</f>
        <v>484</v>
      </c>
    </row>
    <row r="26" spans="1:13" x14ac:dyDescent="0.25">
      <c r="A26" s="5">
        <v>56100</v>
      </c>
      <c r="B26" t="s">
        <v>95</v>
      </c>
      <c r="F26" s="2">
        <v>350</v>
      </c>
      <c r="G26" s="2">
        <v>350</v>
      </c>
      <c r="H26" s="2">
        <v>350</v>
      </c>
      <c r="I26" s="2">
        <v>350</v>
      </c>
      <c r="J26" s="2">
        <v>350</v>
      </c>
      <c r="K26" s="2">
        <v>350</v>
      </c>
      <c r="L26" s="2">
        <v>1289</v>
      </c>
      <c r="M26" s="2">
        <v>231</v>
      </c>
    </row>
    <row r="27" spans="1:13" x14ac:dyDescent="0.25">
      <c r="A27" s="5">
        <v>56110</v>
      </c>
      <c r="B27" t="s">
        <v>106</v>
      </c>
      <c r="F27" s="2">
        <v>3500</v>
      </c>
      <c r="G27" s="9">
        <v>4450</v>
      </c>
      <c r="H27" s="9">
        <v>4450</v>
      </c>
      <c r="I27" s="9">
        <v>4450</v>
      </c>
      <c r="J27" s="9">
        <v>4450</v>
      </c>
      <c r="K27" s="9">
        <v>4450</v>
      </c>
      <c r="L27" s="2">
        <v>5004</v>
      </c>
      <c r="M27" s="2">
        <v>1250</v>
      </c>
    </row>
    <row r="28" spans="1:13" x14ac:dyDescent="0.25">
      <c r="A28" s="5">
        <v>56500</v>
      </c>
      <c r="B28" t="s">
        <v>71</v>
      </c>
      <c r="F28" s="2">
        <v>54</v>
      </c>
      <c r="G28" s="2">
        <v>60</v>
      </c>
      <c r="H28" s="2">
        <v>60</v>
      </c>
      <c r="I28" s="2">
        <v>60</v>
      </c>
      <c r="J28" s="2">
        <v>60</v>
      </c>
      <c r="K28" s="2">
        <v>60</v>
      </c>
      <c r="L28" s="2">
        <v>53</v>
      </c>
      <c r="M28" s="2">
        <v>53</v>
      </c>
    </row>
    <row r="29" spans="1:13" x14ac:dyDescent="0.25">
      <c r="A29" s="5">
        <v>56505</v>
      </c>
      <c r="B29" t="s">
        <v>141</v>
      </c>
      <c r="F29" s="9">
        <v>2000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</row>
    <row r="30" spans="1:13" x14ac:dyDescent="0.25">
      <c r="A30" s="5">
        <v>59000</v>
      </c>
      <c r="B30" t="s">
        <v>107</v>
      </c>
      <c r="F30" s="2">
        <v>1460</v>
      </c>
      <c r="G30" s="9">
        <v>1460</v>
      </c>
      <c r="H30" s="9">
        <v>1460</v>
      </c>
      <c r="I30" s="9">
        <v>1460</v>
      </c>
      <c r="J30" s="9">
        <v>1460</v>
      </c>
      <c r="K30" s="9">
        <v>1460</v>
      </c>
      <c r="L30" s="2">
        <v>1645</v>
      </c>
      <c r="M30" s="2">
        <v>1275</v>
      </c>
    </row>
    <row r="31" spans="1:13" ht="17.25" x14ac:dyDescent="0.4">
      <c r="A31" s="5">
        <v>59400</v>
      </c>
      <c r="B31" t="s">
        <v>80</v>
      </c>
      <c r="F31" s="4">
        <v>5000</v>
      </c>
      <c r="G31" s="10">
        <v>6500</v>
      </c>
      <c r="H31" s="10">
        <v>6500</v>
      </c>
      <c r="I31" s="10">
        <v>6500</v>
      </c>
      <c r="J31" s="10">
        <v>20000</v>
      </c>
      <c r="K31" s="10">
        <v>20000</v>
      </c>
      <c r="L31" s="4">
        <v>22562</v>
      </c>
      <c r="M31" s="4">
        <v>7599</v>
      </c>
    </row>
    <row r="32" spans="1:13" x14ac:dyDescent="0.25">
      <c r="A32" s="5"/>
      <c r="G32" s="2"/>
      <c r="H32" s="2"/>
      <c r="I32" s="2"/>
      <c r="J32" s="2"/>
      <c r="K32" s="2"/>
    </row>
    <row r="33" spans="1:17" ht="17.25" x14ac:dyDescent="0.4">
      <c r="A33" s="5"/>
      <c r="B33" s="1" t="s">
        <v>81</v>
      </c>
      <c r="F33" s="7">
        <f t="shared" ref="F33:M33" si="0">SUM(F7:F32)</f>
        <v>229837.33000000002</v>
      </c>
      <c r="G33" s="7">
        <f t="shared" si="0"/>
        <v>399805</v>
      </c>
      <c r="H33" s="7">
        <f t="shared" si="0"/>
        <v>479754.6</v>
      </c>
      <c r="I33" s="7">
        <f t="shared" si="0"/>
        <v>430390</v>
      </c>
      <c r="J33" s="7">
        <f t="shared" si="0"/>
        <v>410510</v>
      </c>
      <c r="K33" s="7">
        <f t="shared" si="0"/>
        <v>460585</v>
      </c>
      <c r="L33" s="7">
        <f t="shared" si="0"/>
        <v>464192</v>
      </c>
      <c r="M33" s="7">
        <f t="shared" si="0"/>
        <v>300579</v>
      </c>
      <c r="Q33" s="27">
        <f>M33/J33</f>
        <v>0.73220871598743031</v>
      </c>
    </row>
  </sheetData>
  <mergeCells count="1">
    <mergeCell ref="B6:D6"/>
  </mergeCells>
  <phoneticPr fontId="7" type="noConversion"/>
  <pageMargins left="0.25" right="0.25" top="0.75" bottom="0.75" header="0.3" footer="0.3"/>
  <pageSetup scale="58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1A51-E7A4-40AE-A551-8447BBBBEF83}">
  <sheetPr>
    <pageSetUpPr fitToPage="1"/>
  </sheetPr>
  <dimension ref="A1:O30"/>
  <sheetViews>
    <sheetView workbookViewId="0">
      <selection activeCell="O9" sqref="O9:S16"/>
    </sheetView>
  </sheetViews>
  <sheetFormatPr defaultRowHeight="15" x14ac:dyDescent="0.25"/>
  <cols>
    <col min="5" max="6" width="14" customWidth="1"/>
    <col min="7" max="7" width="12.5703125" bestFit="1" customWidth="1"/>
    <col min="8" max="10" width="12.5703125" customWidth="1"/>
    <col min="11" max="11" width="15.7109375" customWidth="1"/>
    <col min="12" max="12" width="12.7109375" customWidth="1"/>
  </cols>
  <sheetData>
    <row r="1" spans="1:15" x14ac:dyDescent="0.25">
      <c r="A1" t="s">
        <v>204</v>
      </c>
    </row>
    <row r="2" spans="1:15" x14ac:dyDescent="0.25">
      <c r="A2" t="s">
        <v>143</v>
      </c>
    </row>
    <row r="5" spans="1:15" x14ac:dyDescent="0.25">
      <c r="A5" s="1"/>
      <c r="B5" s="1"/>
      <c r="C5" s="1"/>
      <c r="D5" s="1"/>
      <c r="E5" s="11" t="s">
        <v>139</v>
      </c>
      <c r="F5" s="11" t="s">
        <v>137</v>
      </c>
      <c r="G5" s="11" t="s">
        <v>156</v>
      </c>
      <c r="H5" s="11" t="s">
        <v>171</v>
      </c>
      <c r="I5" s="11" t="s">
        <v>186</v>
      </c>
      <c r="J5" s="11" t="s">
        <v>203</v>
      </c>
      <c r="K5" s="22">
        <v>45107</v>
      </c>
      <c r="L5" s="22">
        <v>45350</v>
      </c>
    </row>
    <row r="6" spans="1:15" x14ac:dyDescent="0.25">
      <c r="A6" s="12" t="s">
        <v>46</v>
      </c>
      <c r="B6" s="33" t="s">
        <v>47</v>
      </c>
      <c r="C6" s="33"/>
      <c r="D6" s="33"/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167</v>
      </c>
      <c r="L6" s="12" t="s">
        <v>167</v>
      </c>
    </row>
    <row r="7" spans="1:15" x14ac:dyDescent="0.25">
      <c r="A7" s="5">
        <v>51100</v>
      </c>
      <c r="B7" t="s">
        <v>53</v>
      </c>
      <c r="E7" s="2">
        <v>123718.57</v>
      </c>
      <c r="F7" s="2">
        <v>124000</v>
      </c>
      <c r="G7" s="2">
        <v>91650.82</v>
      </c>
      <c r="H7" s="2">
        <v>50000</v>
      </c>
      <c r="I7" s="2">
        <v>58000</v>
      </c>
      <c r="J7" s="2">
        <v>63000</v>
      </c>
      <c r="K7" s="2">
        <v>35242</v>
      </c>
      <c r="L7" s="2">
        <v>7617</v>
      </c>
      <c r="N7" t="s">
        <v>150</v>
      </c>
      <c r="O7" s="28">
        <v>63000</v>
      </c>
    </row>
    <row r="8" spans="1:15" x14ac:dyDescent="0.25">
      <c r="A8" s="5">
        <v>52100</v>
      </c>
      <c r="B8" t="s">
        <v>54</v>
      </c>
      <c r="E8" s="9">
        <v>19800</v>
      </c>
      <c r="F8" s="9">
        <v>21250</v>
      </c>
      <c r="G8" s="9">
        <v>14600</v>
      </c>
      <c r="H8" s="9">
        <v>6500</v>
      </c>
      <c r="I8" s="9">
        <f>6000</f>
        <v>6000</v>
      </c>
      <c r="J8" s="9">
        <v>6000</v>
      </c>
      <c r="K8" s="9">
        <v>10275</v>
      </c>
      <c r="L8" s="9">
        <v>13482</v>
      </c>
    </row>
    <row r="9" spans="1:15" x14ac:dyDescent="0.25">
      <c r="A9" s="5">
        <v>52200</v>
      </c>
      <c r="B9" t="s">
        <v>55</v>
      </c>
      <c r="E9" s="2">
        <v>9464.51</v>
      </c>
      <c r="F9" s="2">
        <v>9500</v>
      </c>
      <c r="G9" s="2">
        <v>9900</v>
      </c>
      <c r="H9" s="2">
        <f>H7*0.0765</f>
        <v>3825</v>
      </c>
      <c r="I9" s="2">
        <v>4450</v>
      </c>
      <c r="J9" s="2">
        <v>4825</v>
      </c>
      <c r="K9" s="24">
        <v>2172</v>
      </c>
      <c r="L9" s="2">
        <v>580</v>
      </c>
    </row>
    <row r="10" spans="1:15" x14ac:dyDescent="0.25">
      <c r="A10" s="5">
        <v>52300</v>
      </c>
      <c r="B10" t="s">
        <v>56</v>
      </c>
      <c r="E10" s="2">
        <v>19250.61</v>
      </c>
      <c r="F10" s="2">
        <v>20550</v>
      </c>
      <c r="G10" s="2">
        <v>15200</v>
      </c>
      <c r="H10" s="2">
        <f>H7*0.1756</f>
        <v>8780</v>
      </c>
      <c r="I10" s="2">
        <v>10800</v>
      </c>
      <c r="J10" s="2">
        <v>12275</v>
      </c>
      <c r="K10" s="2">
        <v>4158</v>
      </c>
      <c r="L10" s="2">
        <v>1338</v>
      </c>
    </row>
    <row r="11" spans="1:15" x14ac:dyDescent="0.25">
      <c r="A11" s="5">
        <v>52600</v>
      </c>
      <c r="B11" t="s">
        <v>57</v>
      </c>
      <c r="E11" s="2">
        <v>971.04</v>
      </c>
      <c r="F11" s="9">
        <v>840</v>
      </c>
      <c r="G11" s="9">
        <v>840</v>
      </c>
      <c r="H11" s="9">
        <v>200</v>
      </c>
      <c r="I11" s="9">
        <v>200</v>
      </c>
      <c r="J11" s="9">
        <v>200</v>
      </c>
      <c r="K11" s="2">
        <v>1311</v>
      </c>
      <c r="L11" s="2">
        <v>663</v>
      </c>
    </row>
    <row r="12" spans="1:15" x14ac:dyDescent="0.25">
      <c r="A12" s="5">
        <v>53201</v>
      </c>
      <c r="B12" t="s">
        <v>116</v>
      </c>
      <c r="E12" s="2">
        <v>16200</v>
      </c>
      <c r="F12" s="2">
        <v>16200</v>
      </c>
      <c r="G12" s="2">
        <v>11200</v>
      </c>
      <c r="H12" s="2">
        <v>11200</v>
      </c>
      <c r="I12" s="2">
        <v>11200</v>
      </c>
      <c r="J12" s="2">
        <v>11200</v>
      </c>
      <c r="K12" s="2">
        <v>530</v>
      </c>
      <c r="L12" s="2">
        <v>180</v>
      </c>
    </row>
    <row r="13" spans="1:15" x14ac:dyDescent="0.25">
      <c r="A13" s="5">
        <v>54302</v>
      </c>
      <c r="B13" t="s">
        <v>84</v>
      </c>
      <c r="E13" s="2">
        <v>11456.94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2">
        <v>0</v>
      </c>
      <c r="L13" s="2">
        <v>0</v>
      </c>
    </row>
    <row r="14" spans="1:15" x14ac:dyDescent="0.25">
      <c r="A14" s="5">
        <v>54305</v>
      </c>
      <c r="B14" t="s">
        <v>59</v>
      </c>
      <c r="E14" s="2">
        <v>39.36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spans="1:15" x14ac:dyDescent="0.25">
      <c r="A15" s="5">
        <v>54307</v>
      </c>
      <c r="B15" t="s">
        <v>60</v>
      </c>
      <c r="E15" s="2">
        <v>4932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2">
        <v>0</v>
      </c>
      <c r="L15" s="2">
        <v>7122</v>
      </c>
    </row>
    <row r="16" spans="1:15" x14ac:dyDescent="0.25">
      <c r="A16" s="5">
        <v>55200</v>
      </c>
      <c r="B16" t="s">
        <v>61</v>
      </c>
      <c r="E16" s="2">
        <v>8403.76</v>
      </c>
      <c r="F16" s="9">
        <v>9500</v>
      </c>
      <c r="G16" s="9">
        <v>9500</v>
      </c>
      <c r="H16" s="9">
        <v>9500</v>
      </c>
      <c r="I16" s="9">
        <v>13000</v>
      </c>
      <c r="J16" s="9">
        <v>15000</v>
      </c>
      <c r="K16" s="2">
        <v>15292</v>
      </c>
      <c r="L16" s="2">
        <v>8502</v>
      </c>
    </row>
    <row r="17" spans="1:14" x14ac:dyDescent="0.25">
      <c r="A17" s="5">
        <v>55301</v>
      </c>
      <c r="B17" t="s">
        <v>62</v>
      </c>
      <c r="E17" s="2">
        <v>600</v>
      </c>
      <c r="F17" s="2">
        <v>540</v>
      </c>
      <c r="G17" s="2">
        <v>540</v>
      </c>
      <c r="H17" s="2">
        <v>540</v>
      </c>
      <c r="I17" s="2">
        <v>500</v>
      </c>
      <c r="J17" s="2">
        <v>500</v>
      </c>
      <c r="K17" s="2">
        <v>593</v>
      </c>
      <c r="L17" s="2">
        <v>0</v>
      </c>
    </row>
    <row r="18" spans="1:14" x14ac:dyDescent="0.25">
      <c r="A18" s="5">
        <v>55500</v>
      </c>
      <c r="B18" t="s">
        <v>63</v>
      </c>
      <c r="E18" s="2">
        <v>6691.56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">
        <v>0</v>
      </c>
      <c r="L18" s="2">
        <v>0</v>
      </c>
    </row>
    <row r="19" spans="1:14" x14ac:dyDescent="0.25">
      <c r="A19" s="5">
        <v>55600</v>
      </c>
      <c r="B19" t="s">
        <v>65</v>
      </c>
      <c r="E19" s="2">
        <v>720</v>
      </c>
      <c r="F19" s="2">
        <v>720</v>
      </c>
      <c r="G19" s="2">
        <v>720</v>
      </c>
      <c r="H19" s="2">
        <v>720</v>
      </c>
      <c r="I19" s="2">
        <v>720</v>
      </c>
      <c r="J19" s="2">
        <v>720</v>
      </c>
      <c r="K19" s="2">
        <v>0</v>
      </c>
      <c r="L19" s="2">
        <v>244</v>
      </c>
    </row>
    <row r="20" spans="1:14" x14ac:dyDescent="0.25">
      <c r="A20" s="5">
        <v>55710</v>
      </c>
      <c r="B20" t="s">
        <v>108</v>
      </c>
      <c r="E20" s="2">
        <v>400</v>
      </c>
      <c r="F20" s="2">
        <v>400</v>
      </c>
      <c r="G20" s="2">
        <v>400</v>
      </c>
      <c r="H20" s="2">
        <v>400</v>
      </c>
      <c r="I20" s="2">
        <v>400</v>
      </c>
      <c r="J20" s="2">
        <v>400</v>
      </c>
      <c r="K20" s="2">
        <v>0</v>
      </c>
      <c r="L20" s="2">
        <v>0</v>
      </c>
    </row>
    <row r="21" spans="1:14" x14ac:dyDescent="0.25">
      <c r="A21" s="5">
        <v>55720</v>
      </c>
      <c r="B21" t="s">
        <v>66</v>
      </c>
      <c r="E21" s="2">
        <v>640</v>
      </c>
      <c r="F21" s="2">
        <v>600</v>
      </c>
      <c r="G21" s="2">
        <v>1300</v>
      </c>
      <c r="H21" s="2">
        <v>1300</v>
      </c>
      <c r="I21" s="2">
        <v>1300</v>
      </c>
      <c r="J21" s="2">
        <v>1300</v>
      </c>
      <c r="K21" s="2">
        <v>15</v>
      </c>
      <c r="L21" s="2">
        <v>235</v>
      </c>
    </row>
    <row r="22" spans="1:14" x14ac:dyDescent="0.25">
      <c r="A22" s="5">
        <v>55830</v>
      </c>
      <c r="B22" t="s">
        <v>67</v>
      </c>
      <c r="E22" s="2">
        <v>600</v>
      </c>
      <c r="F22" s="2">
        <v>600</v>
      </c>
      <c r="G22" s="2">
        <v>600</v>
      </c>
      <c r="H22" s="2">
        <v>600</v>
      </c>
      <c r="I22" s="2">
        <v>600</v>
      </c>
      <c r="J22" s="2">
        <v>600</v>
      </c>
      <c r="K22" s="2">
        <v>30</v>
      </c>
      <c r="L22" s="2">
        <v>0</v>
      </c>
    </row>
    <row r="23" spans="1:14" x14ac:dyDescent="0.25">
      <c r="A23" s="5">
        <v>55840</v>
      </c>
      <c r="B23" t="s">
        <v>68</v>
      </c>
      <c r="E23" s="2">
        <v>800</v>
      </c>
      <c r="F23" s="2">
        <v>800</v>
      </c>
      <c r="G23" s="2">
        <v>800</v>
      </c>
      <c r="H23" s="2">
        <v>800</v>
      </c>
      <c r="I23" s="2">
        <v>800</v>
      </c>
      <c r="J23" s="2">
        <v>800</v>
      </c>
      <c r="K23" s="2">
        <v>429</v>
      </c>
      <c r="L23" s="2">
        <v>0</v>
      </c>
    </row>
    <row r="24" spans="1:14" x14ac:dyDescent="0.25">
      <c r="A24" s="5">
        <v>55850</v>
      </c>
      <c r="B24" t="s">
        <v>69</v>
      </c>
      <c r="E24" s="2">
        <v>500</v>
      </c>
      <c r="F24" s="2">
        <v>375</v>
      </c>
      <c r="G24" s="2">
        <v>375</v>
      </c>
      <c r="H24" s="2">
        <v>375</v>
      </c>
      <c r="I24" s="2">
        <v>375</v>
      </c>
      <c r="J24" s="2">
        <v>375</v>
      </c>
      <c r="K24" s="2">
        <v>32</v>
      </c>
      <c r="L24" s="2">
        <v>0</v>
      </c>
    </row>
    <row r="25" spans="1:14" x14ac:dyDescent="0.25">
      <c r="A25" s="5">
        <v>55900</v>
      </c>
      <c r="B25" t="s">
        <v>70</v>
      </c>
      <c r="E25" s="2">
        <v>900</v>
      </c>
      <c r="F25" s="2">
        <v>900</v>
      </c>
      <c r="G25" s="2">
        <v>1000</v>
      </c>
      <c r="H25" s="2">
        <v>1000</v>
      </c>
      <c r="I25" s="2">
        <v>1000</v>
      </c>
      <c r="J25" s="2">
        <v>1000</v>
      </c>
      <c r="K25" s="2">
        <f>80+335</f>
        <v>415</v>
      </c>
      <c r="L25" s="2">
        <v>0</v>
      </c>
    </row>
    <row r="26" spans="1:14" x14ac:dyDescent="0.25">
      <c r="A26" s="5">
        <v>56100</v>
      </c>
      <c r="B26" t="s">
        <v>95</v>
      </c>
      <c r="E26" s="2">
        <v>300</v>
      </c>
      <c r="F26" s="2">
        <v>0</v>
      </c>
      <c r="G26" s="2">
        <v>400</v>
      </c>
      <c r="H26" s="2">
        <v>400</v>
      </c>
      <c r="I26" s="2">
        <v>400</v>
      </c>
      <c r="J26" s="2">
        <v>400</v>
      </c>
      <c r="K26" s="2">
        <v>860</v>
      </c>
      <c r="L26" s="2">
        <v>0</v>
      </c>
    </row>
    <row r="27" spans="1:14" x14ac:dyDescent="0.25">
      <c r="A27" s="5">
        <v>56500</v>
      </c>
      <c r="B27" t="s">
        <v>71</v>
      </c>
      <c r="E27" s="2">
        <v>120</v>
      </c>
      <c r="F27" s="2">
        <v>60</v>
      </c>
      <c r="G27" s="2">
        <v>60</v>
      </c>
      <c r="H27" s="2">
        <v>60</v>
      </c>
      <c r="I27" s="2">
        <v>60</v>
      </c>
      <c r="J27" s="2">
        <v>60</v>
      </c>
      <c r="K27" s="2">
        <v>178</v>
      </c>
      <c r="L27" s="2">
        <v>178</v>
      </c>
    </row>
    <row r="28" spans="1:14" ht="17.25" x14ac:dyDescent="0.4">
      <c r="A28" s="5">
        <v>58100</v>
      </c>
      <c r="B28" t="s">
        <v>78</v>
      </c>
      <c r="E28" s="4">
        <v>2000</v>
      </c>
      <c r="F28" s="4">
        <v>2000</v>
      </c>
      <c r="G28" s="4">
        <v>2000</v>
      </c>
      <c r="H28" s="4">
        <v>2000</v>
      </c>
      <c r="I28" s="4">
        <v>2000</v>
      </c>
      <c r="J28" s="4">
        <v>2000</v>
      </c>
      <c r="K28" s="4">
        <v>0</v>
      </c>
      <c r="L28" s="4">
        <v>0</v>
      </c>
    </row>
    <row r="29" spans="1:14" x14ac:dyDescent="0.25">
      <c r="A29" s="5"/>
      <c r="E29" s="2"/>
      <c r="F29" s="2"/>
      <c r="G29" s="2"/>
      <c r="H29" s="2"/>
      <c r="I29" s="2"/>
      <c r="J29" s="2"/>
      <c r="K29" s="2"/>
    </row>
    <row r="30" spans="1:14" ht="17.25" x14ac:dyDescent="0.4">
      <c r="A30" s="5"/>
      <c r="B30" s="1" t="s">
        <v>81</v>
      </c>
      <c r="E30" s="7">
        <f t="shared" ref="E30:L30" si="0">SUM(E7:E29)</f>
        <v>228508.35</v>
      </c>
      <c r="F30" s="7">
        <f t="shared" si="0"/>
        <v>208835</v>
      </c>
      <c r="G30" s="7">
        <f t="shared" si="0"/>
        <v>161085.82</v>
      </c>
      <c r="H30" s="7">
        <f t="shared" si="0"/>
        <v>98200</v>
      </c>
      <c r="I30" s="7">
        <f t="shared" si="0"/>
        <v>111805</v>
      </c>
      <c r="J30" s="7">
        <f t="shared" si="0"/>
        <v>120655</v>
      </c>
      <c r="K30" s="7">
        <f t="shared" si="0"/>
        <v>71532</v>
      </c>
      <c r="L30" s="7">
        <f t="shared" si="0"/>
        <v>40141</v>
      </c>
      <c r="N30" s="26">
        <f>L30/I30</f>
        <v>0.35902687715218462</v>
      </c>
    </row>
  </sheetData>
  <mergeCells count="1">
    <mergeCell ref="B6:D6"/>
  </mergeCells>
  <phoneticPr fontId="7" type="noConversion"/>
  <pageMargins left="0.25" right="0.25" top="0.75" bottom="0.75" header="0.3" footer="0.3"/>
  <pageSetup scale="5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DBB5-3020-4A29-9D2B-F0FE53E1F715}">
  <sheetPr>
    <pageSetUpPr fitToPage="1"/>
  </sheetPr>
  <dimension ref="A1:T42"/>
  <sheetViews>
    <sheetView workbookViewId="0">
      <selection activeCell="V13" sqref="V13"/>
    </sheetView>
  </sheetViews>
  <sheetFormatPr defaultRowHeight="15" x14ac:dyDescent="0.25"/>
  <cols>
    <col min="5" max="5" width="1.7109375" customWidth="1"/>
    <col min="6" max="7" width="14.140625" customWidth="1"/>
    <col min="8" max="8" width="14.28515625" bestFit="1" customWidth="1"/>
    <col min="9" max="10" width="14.28515625" hidden="1" customWidth="1"/>
    <col min="11" max="13" width="14.28515625" customWidth="1"/>
    <col min="14" max="14" width="12.5703125" bestFit="1" customWidth="1"/>
    <col min="15" max="15" width="12.5703125" customWidth="1"/>
    <col min="16" max="16" width="1.7109375" customWidth="1"/>
    <col min="20" max="20" width="11.5703125" bestFit="1" customWidth="1"/>
  </cols>
  <sheetData>
    <row r="1" spans="1:20" x14ac:dyDescent="0.25">
      <c r="A1" t="s">
        <v>204</v>
      </c>
    </row>
    <row r="2" spans="1:20" x14ac:dyDescent="0.25">
      <c r="A2" t="s">
        <v>144</v>
      </c>
    </row>
    <row r="3" spans="1:20" x14ac:dyDescent="0.25">
      <c r="J3" s="11" t="s">
        <v>158</v>
      </c>
      <c r="K3" s="11"/>
      <c r="L3" s="11"/>
      <c r="M3" s="11"/>
    </row>
    <row r="4" spans="1:20" x14ac:dyDescent="0.25">
      <c r="I4" s="11" t="s">
        <v>170</v>
      </c>
      <c r="J4" s="11" t="s">
        <v>159</v>
      </c>
      <c r="K4" s="11"/>
      <c r="L4" s="11"/>
      <c r="M4" s="11"/>
    </row>
    <row r="5" spans="1:20" x14ac:dyDescent="0.25">
      <c r="A5" s="1"/>
      <c r="B5" s="1"/>
      <c r="C5" s="1"/>
      <c r="D5" s="1"/>
      <c r="E5" s="1"/>
      <c r="F5" s="11" t="s">
        <v>139</v>
      </c>
      <c r="G5" s="11" t="s">
        <v>137</v>
      </c>
      <c r="H5" s="11" t="s">
        <v>156</v>
      </c>
      <c r="I5" s="11" t="s">
        <v>156</v>
      </c>
      <c r="J5" s="11" t="s">
        <v>156</v>
      </c>
      <c r="K5" s="11" t="s">
        <v>171</v>
      </c>
      <c r="L5" s="11" t="s">
        <v>186</v>
      </c>
      <c r="M5" s="11" t="s">
        <v>203</v>
      </c>
      <c r="N5" s="22">
        <v>45107</v>
      </c>
      <c r="O5" s="22">
        <v>45350</v>
      </c>
    </row>
    <row r="6" spans="1:20" x14ac:dyDescent="0.25">
      <c r="A6" s="12" t="s">
        <v>46</v>
      </c>
      <c r="B6" s="33" t="s">
        <v>47</v>
      </c>
      <c r="C6" s="33"/>
      <c r="D6" s="33"/>
      <c r="E6" s="1"/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138</v>
      </c>
      <c r="L6" s="12" t="s">
        <v>138</v>
      </c>
      <c r="M6" s="12" t="s">
        <v>138</v>
      </c>
      <c r="N6" s="12" t="s">
        <v>167</v>
      </c>
      <c r="O6" s="12" t="s">
        <v>167</v>
      </c>
      <c r="Q6" s="12" t="s">
        <v>172</v>
      </c>
    </row>
    <row r="7" spans="1:20" x14ac:dyDescent="0.25">
      <c r="A7" s="5">
        <v>51100</v>
      </c>
      <c r="B7" t="s">
        <v>53</v>
      </c>
      <c r="F7" s="2">
        <v>402804.13</v>
      </c>
      <c r="G7" s="2">
        <v>360000</v>
      </c>
      <c r="H7" s="2">
        <v>446900</v>
      </c>
      <c r="I7" s="2">
        <v>360000</v>
      </c>
      <c r="J7" s="2">
        <v>336025</v>
      </c>
      <c r="K7" s="2">
        <v>330000</v>
      </c>
      <c r="L7" s="2">
        <v>342000</v>
      </c>
      <c r="M7" s="2">
        <v>352000</v>
      </c>
      <c r="N7" s="2">
        <v>321241</v>
      </c>
      <c r="O7" s="2">
        <f>267469+1000</f>
        <v>268469</v>
      </c>
      <c r="Q7" t="s">
        <v>181</v>
      </c>
      <c r="T7" s="2">
        <f>25500.8+28100.8+32260.8+18960+54419+24356.8+24356.8+29100+33176+24476.8</f>
        <v>294707.8</v>
      </c>
    </row>
    <row r="8" spans="1:20" x14ac:dyDescent="0.25">
      <c r="A8" s="5">
        <v>52100</v>
      </c>
      <c r="B8" t="s">
        <v>54</v>
      </c>
      <c r="F8" s="9">
        <v>76000</v>
      </c>
      <c r="G8" s="9">
        <v>87000</v>
      </c>
      <c r="H8" s="9">
        <v>89600</v>
      </c>
      <c r="I8" s="9">
        <v>72000</v>
      </c>
      <c r="J8" s="9">
        <v>72000</v>
      </c>
      <c r="K8" s="9">
        <v>65000</v>
      </c>
      <c r="L8" s="9">
        <v>65000</v>
      </c>
      <c r="M8" s="9">
        <v>65000</v>
      </c>
      <c r="N8" s="9">
        <v>54804</v>
      </c>
      <c r="O8" s="9">
        <v>49740</v>
      </c>
    </row>
    <row r="9" spans="1:20" x14ac:dyDescent="0.25">
      <c r="A9" s="5">
        <v>52200</v>
      </c>
      <c r="B9" t="s">
        <v>55</v>
      </c>
      <c r="F9" s="2">
        <v>30814.52</v>
      </c>
      <c r="G9" s="2">
        <v>27540</v>
      </c>
      <c r="H9" s="2">
        <v>34200</v>
      </c>
      <c r="I9" s="2">
        <v>27540</v>
      </c>
      <c r="J9" s="2">
        <v>25750</v>
      </c>
      <c r="K9" s="2">
        <v>25250</v>
      </c>
      <c r="L9" s="2">
        <v>26175</v>
      </c>
      <c r="M9" s="2">
        <v>27000</v>
      </c>
      <c r="N9" s="2">
        <v>23153</v>
      </c>
      <c r="O9" s="2">
        <v>15044</v>
      </c>
    </row>
    <row r="10" spans="1:20" x14ac:dyDescent="0.25">
      <c r="A10" s="5">
        <v>52300</v>
      </c>
      <c r="B10" t="s">
        <v>56</v>
      </c>
      <c r="F10" s="2">
        <v>62676.32</v>
      </c>
      <c r="G10" s="2">
        <v>59650</v>
      </c>
      <c r="H10" s="2">
        <v>74000</v>
      </c>
      <c r="I10" s="2">
        <v>59650</v>
      </c>
      <c r="J10" s="2">
        <v>55650</v>
      </c>
      <c r="K10" s="2">
        <v>57950</v>
      </c>
      <c r="L10" s="2">
        <v>63475</v>
      </c>
      <c r="M10" s="2">
        <v>67000</v>
      </c>
      <c r="N10" s="2">
        <v>45208</v>
      </c>
      <c r="O10" s="2">
        <v>32965</v>
      </c>
    </row>
    <row r="11" spans="1:20" x14ac:dyDescent="0.25">
      <c r="A11" s="5">
        <v>52600</v>
      </c>
      <c r="B11" t="s">
        <v>57</v>
      </c>
      <c r="F11" s="2">
        <v>45117.49</v>
      </c>
      <c r="G11" s="9">
        <v>37600</v>
      </c>
      <c r="H11" s="9">
        <v>37600</v>
      </c>
      <c r="I11" s="9">
        <v>37600</v>
      </c>
      <c r="J11" s="9">
        <v>37600</v>
      </c>
      <c r="K11" s="9">
        <v>40000</v>
      </c>
      <c r="L11" s="9">
        <v>40000</v>
      </c>
      <c r="M11" s="9">
        <v>45000</v>
      </c>
      <c r="N11" s="2">
        <v>61748</v>
      </c>
      <c r="O11" s="2">
        <v>30422</v>
      </c>
    </row>
    <row r="12" spans="1:20" x14ac:dyDescent="0.25">
      <c r="A12" s="5">
        <v>53400</v>
      </c>
      <c r="B12" t="s">
        <v>168</v>
      </c>
      <c r="F12" s="2">
        <v>0</v>
      </c>
      <c r="G12" s="9">
        <v>0</v>
      </c>
      <c r="H12" s="9">
        <v>61080</v>
      </c>
      <c r="I12" s="9">
        <v>61080</v>
      </c>
      <c r="J12" s="9">
        <v>0</v>
      </c>
      <c r="K12" s="9">
        <v>0</v>
      </c>
      <c r="L12" s="9">
        <v>0</v>
      </c>
      <c r="M12" s="9">
        <v>0</v>
      </c>
      <c r="N12" s="2">
        <v>0</v>
      </c>
      <c r="O12" s="2">
        <v>0</v>
      </c>
    </row>
    <row r="13" spans="1:20" x14ac:dyDescent="0.25">
      <c r="A13" s="5">
        <v>53500</v>
      </c>
      <c r="B13" t="s">
        <v>82</v>
      </c>
      <c r="F13" s="2">
        <v>10000</v>
      </c>
      <c r="G13" s="9">
        <v>20000</v>
      </c>
      <c r="H13" s="9">
        <v>40000</v>
      </c>
      <c r="I13" s="9">
        <v>40000</v>
      </c>
      <c r="J13" s="9">
        <v>5000</v>
      </c>
      <c r="K13" s="9">
        <v>50000</v>
      </c>
      <c r="L13" s="9">
        <v>40000</v>
      </c>
      <c r="M13" s="9">
        <v>45000</v>
      </c>
      <c r="N13" s="2">
        <v>54781</v>
      </c>
      <c r="O13" s="2">
        <f>52988+71</f>
        <v>53059</v>
      </c>
    </row>
    <row r="14" spans="1:20" x14ac:dyDescent="0.25">
      <c r="A14" s="5">
        <v>54303</v>
      </c>
      <c r="B14" t="s">
        <v>85</v>
      </c>
      <c r="F14" s="2">
        <v>2000</v>
      </c>
      <c r="G14" s="2">
        <v>5000</v>
      </c>
      <c r="H14" s="2">
        <v>5000</v>
      </c>
      <c r="I14" s="2">
        <v>5000</v>
      </c>
      <c r="J14" s="2">
        <v>5000</v>
      </c>
      <c r="K14" s="2">
        <v>7500</v>
      </c>
      <c r="L14" s="2">
        <v>7500</v>
      </c>
      <c r="M14" s="2">
        <v>10000</v>
      </c>
      <c r="N14" s="2">
        <v>11618</v>
      </c>
      <c r="O14" s="2">
        <v>26242</v>
      </c>
    </row>
    <row r="15" spans="1:20" x14ac:dyDescent="0.25">
      <c r="A15" s="5">
        <v>54304</v>
      </c>
      <c r="B15" t="s">
        <v>86</v>
      </c>
      <c r="F15" s="2">
        <v>9500</v>
      </c>
      <c r="G15" s="2">
        <v>7500</v>
      </c>
      <c r="H15" s="2">
        <v>7500</v>
      </c>
      <c r="I15" s="2">
        <v>7500</v>
      </c>
      <c r="J15" s="2">
        <v>7500</v>
      </c>
      <c r="K15" s="2">
        <v>10000</v>
      </c>
      <c r="L15" s="2">
        <v>20000</v>
      </c>
      <c r="M15" s="2">
        <v>25000</v>
      </c>
      <c r="N15" s="2">
        <v>33914</v>
      </c>
      <c r="O15" s="2">
        <v>14489</v>
      </c>
    </row>
    <row r="16" spans="1:20" x14ac:dyDescent="0.25">
      <c r="A16" s="5">
        <v>54305</v>
      </c>
      <c r="B16" t="s">
        <v>59</v>
      </c>
      <c r="F16" s="2">
        <v>39.36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x14ac:dyDescent="0.25">
      <c r="A17" s="5">
        <v>54307</v>
      </c>
      <c r="B17" t="s">
        <v>60</v>
      </c>
      <c r="F17" s="2">
        <v>3874.56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">
        <v>0</v>
      </c>
      <c r="O17" s="2">
        <v>-342</v>
      </c>
    </row>
    <row r="18" spans="1:15" x14ac:dyDescent="0.25">
      <c r="A18" s="5"/>
      <c r="B18" t="s">
        <v>199</v>
      </c>
      <c r="F18" s="2">
        <v>0</v>
      </c>
      <c r="G18" s="9">
        <v>0</v>
      </c>
      <c r="H18" s="9">
        <v>0</v>
      </c>
      <c r="I18" s="9"/>
      <c r="J18" s="9"/>
      <c r="K18" s="9">
        <v>0</v>
      </c>
      <c r="L18" s="9">
        <v>40000</v>
      </c>
      <c r="M18" s="9">
        <v>0</v>
      </c>
      <c r="N18" s="2">
        <v>0</v>
      </c>
      <c r="O18" s="2">
        <v>617</v>
      </c>
    </row>
    <row r="19" spans="1:15" x14ac:dyDescent="0.25">
      <c r="A19" s="5">
        <v>55200</v>
      </c>
      <c r="B19" t="s">
        <v>61</v>
      </c>
      <c r="F19" s="2">
        <v>25231.96</v>
      </c>
      <c r="G19" s="9">
        <v>30000</v>
      </c>
      <c r="H19" s="9">
        <v>30000</v>
      </c>
      <c r="I19" s="9">
        <v>30000</v>
      </c>
      <c r="J19" s="9">
        <v>30000</v>
      </c>
      <c r="K19" s="9">
        <v>30000</v>
      </c>
      <c r="L19" s="9">
        <v>40000</v>
      </c>
      <c r="M19" s="9">
        <v>50000</v>
      </c>
      <c r="N19" s="2">
        <v>47263</v>
      </c>
      <c r="O19" s="2">
        <v>25528</v>
      </c>
    </row>
    <row r="20" spans="1:15" x14ac:dyDescent="0.25">
      <c r="A20" s="5">
        <v>55300</v>
      </c>
      <c r="B20" t="s">
        <v>87</v>
      </c>
      <c r="F20" s="2">
        <v>2479</v>
      </c>
      <c r="G20" s="2">
        <v>2500</v>
      </c>
      <c r="H20" s="2">
        <v>2500</v>
      </c>
      <c r="I20" s="2">
        <v>2500</v>
      </c>
      <c r="J20" s="2">
        <v>2500</v>
      </c>
      <c r="K20" s="2">
        <v>2500</v>
      </c>
      <c r="L20" s="2">
        <v>2500</v>
      </c>
      <c r="M20" s="2">
        <v>2500</v>
      </c>
      <c r="N20" s="2">
        <v>3484</v>
      </c>
      <c r="O20" s="2">
        <v>4454</v>
      </c>
    </row>
    <row r="21" spans="1:15" x14ac:dyDescent="0.25">
      <c r="A21" s="5">
        <v>55301</v>
      </c>
      <c r="B21" t="s">
        <v>62</v>
      </c>
      <c r="F21" s="2">
        <v>1987</v>
      </c>
      <c r="G21" s="2">
        <v>1800</v>
      </c>
      <c r="H21" s="2">
        <v>1800</v>
      </c>
      <c r="I21" s="2">
        <v>1800</v>
      </c>
      <c r="J21" s="2">
        <v>1800</v>
      </c>
      <c r="K21" s="2">
        <v>1800</v>
      </c>
      <c r="L21" s="2">
        <v>1000</v>
      </c>
      <c r="M21" s="2">
        <v>1000</v>
      </c>
      <c r="N21" s="2">
        <v>814</v>
      </c>
      <c r="O21" s="2">
        <v>822</v>
      </c>
    </row>
    <row r="22" spans="1:15" x14ac:dyDescent="0.25">
      <c r="A22" s="5">
        <v>55400</v>
      </c>
      <c r="B22" t="s">
        <v>88</v>
      </c>
      <c r="F22" s="2">
        <v>600</v>
      </c>
      <c r="G22" s="2">
        <v>750</v>
      </c>
      <c r="H22" s="2">
        <v>1000</v>
      </c>
      <c r="I22" s="2">
        <v>1000</v>
      </c>
      <c r="J22" s="2">
        <v>750</v>
      </c>
      <c r="K22" s="2">
        <v>750</v>
      </c>
      <c r="L22" s="2">
        <v>750</v>
      </c>
      <c r="M22" s="2">
        <v>750</v>
      </c>
      <c r="N22" s="2">
        <v>955</v>
      </c>
      <c r="O22" s="2">
        <v>1464</v>
      </c>
    </row>
    <row r="23" spans="1:15" x14ac:dyDescent="0.25">
      <c r="A23" s="5">
        <v>55600</v>
      </c>
      <c r="B23" t="s">
        <v>65</v>
      </c>
      <c r="F23" s="2">
        <v>500</v>
      </c>
      <c r="G23" s="2">
        <v>500</v>
      </c>
      <c r="H23" s="2">
        <v>0</v>
      </c>
      <c r="I23" s="2">
        <v>0</v>
      </c>
      <c r="J23" s="2">
        <v>500</v>
      </c>
      <c r="K23" s="2">
        <v>0</v>
      </c>
      <c r="L23" s="2">
        <v>0</v>
      </c>
      <c r="M23" s="2">
        <v>0</v>
      </c>
      <c r="N23" s="2">
        <v>0</v>
      </c>
      <c r="O23" s="2">
        <v>182</v>
      </c>
    </row>
    <row r="24" spans="1:15" x14ac:dyDescent="0.25">
      <c r="A24" s="5">
        <v>55710</v>
      </c>
      <c r="B24" t="s">
        <v>108</v>
      </c>
      <c r="F24" s="2"/>
      <c r="G24" s="2">
        <v>1500</v>
      </c>
      <c r="H24" s="2">
        <v>2000</v>
      </c>
      <c r="I24" s="2">
        <v>2000</v>
      </c>
      <c r="J24" s="2">
        <v>1500</v>
      </c>
      <c r="K24" s="2">
        <v>2000</v>
      </c>
      <c r="L24" s="2">
        <v>2000</v>
      </c>
      <c r="M24" s="2">
        <v>2000</v>
      </c>
      <c r="N24" s="2">
        <v>4455</v>
      </c>
      <c r="O24" s="2">
        <v>1478</v>
      </c>
    </row>
    <row r="25" spans="1:15" x14ac:dyDescent="0.25">
      <c r="A25" s="5">
        <v>55720</v>
      </c>
      <c r="B25" t="s">
        <v>66</v>
      </c>
      <c r="F25" s="2">
        <v>1000</v>
      </c>
      <c r="G25" s="2">
        <v>500</v>
      </c>
      <c r="H25" s="2">
        <v>500</v>
      </c>
      <c r="I25" s="2">
        <v>500</v>
      </c>
      <c r="J25" s="2">
        <v>500</v>
      </c>
      <c r="K25" s="2">
        <v>500</v>
      </c>
      <c r="L25" s="2">
        <v>500</v>
      </c>
      <c r="M25" s="2">
        <v>500</v>
      </c>
      <c r="N25" s="2">
        <v>0</v>
      </c>
      <c r="O25" s="2">
        <v>527</v>
      </c>
    </row>
    <row r="26" spans="1:15" x14ac:dyDescent="0.25">
      <c r="A26" s="5">
        <v>55840</v>
      </c>
      <c r="B26" t="s">
        <v>68</v>
      </c>
      <c r="F26" s="2">
        <v>1000</v>
      </c>
      <c r="G26" s="2">
        <v>1000</v>
      </c>
      <c r="H26" s="2">
        <v>1000</v>
      </c>
      <c r="I26" s="2">
        <v>1000</v>
      </c>
      <c r="J26" s="2">
        <v>1000</v>
      </c>
      <c r="K26" s="2">
        <v>1000</v>
      </c>
      <c r="L26" s="2">
        <v>1000</v>
      </c>
      <c r="M26" s="2">
        <v>1000</v>
      </c>
      <c r="N26" s="2">
        <v>1582</v>
      </c>
      <c r="O26" s="2">
        <v>1363</v>
      </c>
    </row>
    <row r="27" spans="1:15" x14ac:dyDescent="0.25">
      <c r="A27" s="5">
        <v>55850</v>
      </c>
      <c r="B27" t="s">
        <v>69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0</v>
      </c>
      <c r="O27" s="2">
        <v>460</v>
      </c>
    </row>
    <row r="28" spans="1:15" x14ac:dyDescent="0.25">
      <c r="A28" s="5">
        <v>55900</v>
      </c>
      <c r="B28" t="s">
        <v>70</v>
      </c>
      <c r="F28" s="2">
        <v>150</v>
      </c>
      <c r="G28" s="2">
        <v>500</v>
      </c>
      <c r="H28" s="2">
        <v>500</v>
      </c>
      <c r="I28" s="2">
        <v>500</v>
      </c>
      <c r="J28" s="2">
        <v>500</v>
      </c>
      <c r="K28" s="2">
        <v>500</v>
      </c>
      <c r="L28" s="2">
        <v>500</v>
      </c>
      <c r="M28" s="2">
        <v>500</v>
      </c>
      <c r="N28" s="2">
        <v>721</v>
      </c>
      <c r="O28" s="2">
        <v>724</v>
      </c>
    </row>
    <row r="29" spans="1:15" x14ac:dyDescent="0.25">
      <c r="A29" s="5">
        <v>56100</v>
      </c>
      <c r="B29" t="s">
        <v>95</v>
      </c>
      <c r="F29" s="2">
        <v>2000</v>
      </c>
      <c r="G29" s="2">
        <v>2500</v>
      </c>
      <c r="H29" s="2">
        <v>3000</v>
      </c>
      <c r="I29" s="2">
        <v>3000</v>
      </c>
      <c r="J29" s="2">
        <v>2500</v>
      </c>
      <c r="K29" s="2">
        <v>5000</v>
      </c>
      <c r="L29" s="2">
        <v>5000</v>
      </c>
      <c r="M29" s="2">
        <v>5000</v>
      </c>
      <c r="N29" s="2">
        <v>12158</v>
      </c>
      <c r="O29" s="2">
        <v>15384</v>
      </c>
    </row>
    <row r="30" spans="1:15" x14ac:dyDescent="0.25">
      <c r="A30" s="5">
        <v>56102</v>
      </c>
      <c r="B30" t="s">
        <v>96</v>
      </c>
      <c r="F30" s="2">
        <v>750</v>
      </c>
      <c r="G30" s="2">
        <v>1000</v>
      </c>
      <c r="H30" s="2">
        <v>1500</v>
      </c>
      <c r="I30" s="2">
        <v>1500</v>
      </c>
      <c r="J30" s="2">
        <v>1000</v>
      </c>
      <c r="K30" s="2">
        <v>3000</v>
      </c>
      <c r="L30" s="2">
        <v>3000</v>
      </c>
      <c r="M30" s="2">
        <v>3000</v>
      </c>
      <c r="N30" s="2">
        <v>3411</v>
      </c>
      <c r="O30" s="2">
        <v>8527</v>
      </c>
    </row>
    <row r="31" spans="1:15" x14ac:dyDescent="0.25">
      <c r="A31" s="5">
        <v>56105</v>
      </c>
      <c r="B31" t="s">
        <v>113</v>
      </c>
      <c r="F31" s="2">
        <v>3700</v>
      </c>
      <c r="G31" s="2">
        <v>4500</v>
      </c>
      <c r="H31" s="2">
        <v>3500</v>
      </c>
      <c r="I31" s="2">
        <v>3500</v>
      </c>
      <c r="J31" s="2">
        <v>4500</v>
      </c>
      <c r="K31" s="2">
        <v>7500</v>
      </c>
      <c r="L31" s="2">
        <v>7500</v>
      </c>
      <c r="M31" s="2">
        <v>7500</v>
      </c>
      <c r="N31" s="2">
        <v>6228</v>
      </c>
      <c r="O31" s="2">
        <v>8716</v>
      </c>
    </row>
    <row r="32" spans="1:15" x14ac:dyDescent="0.25">
      <c r="A32" s="5">
        <v>56220</v>
      </c>
      <c r="B32" t="s">
        <v>97</v>
      </c>
      <c r="F32" s="2">
        <v>3700</v>
      </c>
      <c r="G32" s="2">
        <v>5000</v>
      </c>
      <c r="H32" s="2">
        <v>5000</v>
      </c>
      <c r="I32" s="2">
        <v>5000</v>
      </c>
      <c r="J32" s="2">
        <v>5000</v>
      </c>
      <c r="K32" s="2">
        <v>5000</v>
      </c>
      <c r="L32" s="2">
        <v>5000</v>
      </c>
      <c r="M32" s="2">
        <v>5000</v>
      </c>
      <c r="N32" s="2">
        <f>17+6922</f>
        <v>6939</v>
      </c>
      <c r="O32" s="2">
        <v>4900</v>
      </c>
    </row>
    <row r="33" spans="1:17" x14ac:dyDescent="0.25">
      <c r="A33" s="5">
        <v>56221</v>
      </c>
      <c r="B33" t="s">
        <v>98</v>
      </c>
      <c r="F33" s="2">
        <v>2850</v>
      </c>
      <c r="G33" s="2">
        <v>2900</v>
      </c>
      <c r="H33" s="2">
        <v>2900</v>
      </c>
      <c r="I33" s="2">
        <v>2900</v>
      </c>
      <c r="J33" s="2">
        <v>2900</v>
      </c>
      <c r="K33" s="2">
        <v>2900</v>
      </c>
      <c r="L33" s="2">
        <v>2900</v>
      </c>
      <c r="M33" s="2">
        <v>2900</v>
      </c>
      <c r="N33" s="2">
        <v>2116</v>
      </c>
      <c r="O33" s="2">
        <v>1877</v>
      </c>
    </row>
    <row r="34" spans="1:17" x14ac:dyDescent="0.25">
      <c r="A34" s="5">
        <v>56222</v>
      </c>
      <c r="B34" t="s">
        <v>99</v>
      </c>
      <c r="F34" s="2">
        <v>1500</v>
      </c>
      <c r="G34" s="2">
        <v>2500</v>
      </c>
      <c r="H34" s="2">
        <v>5000</v>
      </c>
      <c r="I34" s="2">
        <v>5000</v>
      </c>
      <c r="J34" s="2">
        <v>2500</v>
      </c>
      <c r="K34" s="2">
        <v>5000</v>
      </c>
      <c r="L34" s="2">
        <v>5000</v>
      </c>
      <c r="M34" s="2">
        <v>5000</v>
      </c>
      <c r="N34" s="2">
        <v>1366</v>
      </c>
      <c r="O34" s="2">
        <v>560</v>
      </c>
    </row>
    <row r="35" spans="1:17" x14ac:dyDescent="0.25">
      <c r="A35" s="5">
        <v>56260</v>
      </c>
      <c r="B35" t="s">
        <v>100</v>
      </c>
      <c r="F35" s="2">
        <v>45000</v>
      </c>
      <c r="G35" s="2">
        <v>40000</v>
      </c>
      <c r="H35" s="2">
        <v>40000</v>
      </c>
      <c r="I35" s="2">
        <v>40000</v>
      </c>
      <c r="J35" s="2">
        <v>15000</v>
      </c>
      <c r="K35" s="2">
        <v>45000</v>
      </c>
      <c r="L35" s="2">
        <v>45000</v>
      </c>
      <c r="M35" s="2">
        <v>65000</v>
      </c>
      <c r="N35" s="2">
        <v>74418</v>
      </c>
      <c r="O35" s="2">
        <v>42200</v>
      </c>
    </row>
    <row r="36" spans="1:17" x14ac:dyDescent="0.25">
      <c r="A36" s="5">
        <v>56300</v>
      </c>
      <c r="B36" t="s">
        <v>110</v>
      </c>
      <c r="F36" s="2">
        <v>5000</v>
      </c>
      <c r="G36" s="2">
        <v>5000</v>
      </c>
      <c r="H36" s="2">
        <v>5000</v>
      </c>
      <c r="I36" s="2">
        <v>5000</v>
      </c>
      <c r="J36" s="2">
        <v>0</v>
      </c>
      <c r="K36" s="2">
        <v>5000</v>
      </c>
      <c r="L36" s="2">
        <v>5000</v>
      </c>
      <c r="M36" s="2">
        <v>5000</v>
      </c>
      <c r="N36" s="2">
        <v>0</v>
      </c>
      <c r="O36" s="2">
        <v>0</v>
      </c>
    </row>
    <row r="37" spans="1:17" x14ac:dyDescent="0.25">
      <c r="A37" s="5">
        <v>56320</v>
      </c>
      <c r="B37" t="s">
        <v>111</v>
      </c>
      <c r="F37" s="2">
        <v>21727.29</v>
      </c>
      <c r="G37" s="2">
        <v>50000</v>
      </c>
      <c r="H37" s="2">
        <v>60000</v>
      </c>
      <c r="I37" s="2">
        <v>60000</v>
      </c>
      <c r="J37" s="2">
        <v>60000</v>
      </c>
      <c r="K37" s="2">
        <v>65000</v>
      </c>
      <c r="L37" s="2">
        <v>65000</v>
      </c>
      <c r="M37" s="2">
        <v>95000</v>
      </c>
      <c r="N37" s="2">
        <v>96381</v>
      </c>
      <c r="O37" s="2">
        <v>62411</v>
      </c>
    </row>
    <row r="38" spans="1:17" x14ac:dyDescent="0.25">
      <c r="A38" s="5">
        <v>56340</v>
      </c>
      <c r="B38" t="s">
        <v>112</v>
      </c>
      <c r="F38" s="2">
        <v>39759.35</v>
      </c>
      <c r="G38" s="2">
        <v>85000</v>
      </c>
      <c r="H38" s="2">
        <v>85000</v>
      </c>
      <c r="I38" s="2">
        <v>85000</v>
      </c>
      <c r="J38" s="2">
        <v>0</v>
      </c>
      <c r="K38" s="2">
        <v>95000</v>
      </c>
      <c r="L38" s="2">
        <v>95000</v>
      </c>
      <c r="M38" s="2">
        <v>95000</v>
      </c>
      <c r="N38" s="2">
        <v>95664</v>
      </c>
      <c r="O38" s="2">
        <v>70348</v>
      </c>
    </row>
    <row r="39" spans="1:17" x14ac:dyDescent="0.25">
      <c r="A39" s="5">
        <v>56500</v>
      </c>
      <c r="B39" t="s">
        <v>71</v>
      </c>
      <c r="F39" s="2">
        <v>0</v>
      </c>
      <c r="G39" s="2">
        <v>400</v>
      </c>
      <c r="H39" s="2">
        <v>400</v>
      </c>
      <c r="I39" s="2">
        <v>400</v>
      </c>
      <c r="J39" s="2">
        <v>400</v>
      </c>
      <c r="K39" s="2">
        <v>400</v>
      </c>
      <c r="L39" s="2">
        <v>400</v>
      </c>
      <c r="M39" s="2">
        <v>400</v>
      </c>
      <c r="N39" s="2">
        <v>178</v>
      </c>
      <c r="O39" s="2">
        <v>178</v>
      </c>
    </row>
    <row r="40" spans="1:17" ht="17.25" x14ac:dyDescent="0.4">
      <c r="A40" s="5">
        <v>59300</v>
      </c>
      <c r="B40" t="s">
        <v>132</v>
      </c>
      <c r="F40" s="4">
        <v>20000</v>
      </c>
      <c r="G40" s="10">
        <v>0</v>
      </c>
      <c r="H40" s="10">
        <v>847700</v>
      </c>
      <c r="I40" s="10">
        <v>100000</v>
      </c>
      <c r="J40" s="10">
        <v>100000</v>
      </c>
      <c r="K40" s="10">
        <v>0</v>
      </c>
      <c r="L40" s="10">
        <v>0</v>
      </c>
      <c r="M40" s="10">
        <v>0</v>
      </c>
      <c r="N40" s="10">
        <v>8717</v>
      </c>
      <c r="O40" s="10">
        <v>-500</v>
      </c>
    </row>
    <row r="41" spans="1:17" x14ac:dyDescent="0.25">
      <c r="A41" s="5"/>
      <c r="F41" s="2"/>
      <c r="G41" s="2"/>
      <c r="H41" s="2"/>
      <c r="I41" s="2"/>
      <c r="J41" s="2"/>
      <c r="K41" s="2"/>
      <c r="L41" s="2"/>
      <c r="M41" s="2"/>
    </row>
    <row r="42" spans="1:17" ht="17.25" x14ac:dyDescent="0.4">
      <c r="A42" s="5"/>
      <c r="B42" s="1" t="s">
        <v>81</v>
      </c>
      <c r="F42" s="7">
        <f t="shared" ref="F42:O42" si="0">SUM(F7:F41)</f>
        <v>822260.98</v>
      </c>
      <c r="G42" s="7">
        <f t="shared" si="0"/>
        <v>842640</v>
      </c>
      <c r="H42" s="7">
        <f t="shared" si="0"/>
        <v>1894680</v>
      </c>
      <c r="I42" s="7">
        <f t="shared" si="0"/>
        <v>1021470</v>
      </c>
      <c r="J42" s="7">
        <f t="shared" si="0"/>
        <v>777875</v>
      </c>
      <c r="K42" s="7">
        <f t="shared" si="0"/>
        <v>864050</v>
      </c>
      <c r="L42" s="7">
        <f t="shared" si="0"/>
        <v>931700</v>
      </c>
      <c r="M42" s="7">
        <f t="shared" si="0"/>
        <v>983550</v>
      </c>
      <c r="N42" s="7">
        <f t="shared" si="0"/>
        <v>973317</v>
      </c>
      <c r="O42" s="7">
        <f t="shared" si="0"/>
        <v>742308</v>
      </c>
      <c r="Q42" s="26">
        <f>O42/L42</f>
        <v>0.79672426746806913</v>
      </c>
    </row>
  </sheetData>
  <mergeCells count="1">
    <mergeCell ref="B6:D6"/>
  </mergeCells>
  <phoneticPr fontId="7" type="noConversion"/>
  <pageMargins left="0.25" right="0.25" top="0.75" bottom="0.75" header="0.3" footer="0.3"/>
  <pageSetup scale="53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93FA-F4F0-4006-B5BD-B3FB4956029B}">
  <sheetPr>
    <pageSetUpPr fitToPage="1"/>
  </sheetPr>
  <dimension ref="A1:S47"/>
  <sheetViews>
    <sheetView workbookViewId="0">
      <selection activeCell="T16" sqref="T16"/>
    </sheetView>
  </sheetViews>
  <sheetFormatPr defaultRowHeight="15" x14ac:dyDescent="0.25"/>
  <cols>
    <col min="4" max="4" width="4.5703125" customWidth="1"/>
    <col min="5" max="6" width="14.140625" customWidth="1"/>
    <col min="7" max="7" width="14.28515625" bestFit="1" customWidth="1"/>
    <col min="8" max="8" width="14.28515625" hidden="1" customWidth="1"/>
    <col min="9" max="11" width="14.28515625" customWidth="1"/>
    <col min="12" max="13" width="13.85546875" customWidth="1"/>
    <col min="14" max="14" width="3.28515625" customWidth="1"/>
  </cols>
  <sheetData>
    <row r="1" spans="1:19" x14ac:dyDescent="0.25">
      <c r="A1" t="s">
        <v>204</v>
      </c>
    </row>
    <row r="2" spans="1:19" x14ac:dyDescent="0.25">
      <c r="A2" t="s">
        <v>145</v>
      </c>
    </row>
    <row r="4" spans="1:19" x14ac:dyDescent="0.25">
      <c r="H4" s="11" t="s">
        <v>170</v>
      </c>
      <c r="I4" s="11"/>
      <c r="J4" s="11"/>
      <c r="K4" s="11"/>
    </row>
    <row r="5" spans="1:19" x14ac:dyDescent="0.25">
      <c r="A5" s="1"/>
      <c r="B5" s="1"/>
      <c r="C5" s="1"/>
      <c r="D5" s="1"/>
      <c r="E5" s="11" t="s">
        <v>139</v>
      </c>
      <c r="F5" s="11" t="s">
        <v>137</v>
      </c>
      <c r="G5" s="11" t="s">
        <v>156</v>
      </c>
      <c r="H5" s="11" t="s">
        <v>156</v>
      </c>
      <c r="I5" s="11" t="s">
        <v>171</v>
      </c>
      <c r="J5" s="11" t="s">
        <v>186</v>
      </c>
      <c r="K5" s="11" t="s">
        <v>203</v>
      </c>
      <c r="L5" s="22">
        <v>45107</v>
      </c>
      <c r="M5" s="22">
        <v>45350</v>
      </c>
    </row>
    <row r="6" spans="1:19" x14ac:dyDescent="0.25">
      <c r="A6" s="12" t="s">
        <v>46</v>
      </c>
      <c r="B6" s="33" t="s">
        <v>47</v>
      </c>
      <c r="C6" s="33"/>
      <c r="D6" s="1"/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138</v>
      </c>
      <c r="L6" s="12" t="s">
        <v>167</v>
      </c>
      <c r="M6" s="12" t="s">
        <v>167</v>
      </c>
      <c r="O6" t="s">
        <v>172</v>
      </c>
      <c r="S6" t="s">
        <v>191</v>
      </c>
    </row>
    <row r="7" spans="1:19" x14ac:dyDescent="0.25">
      <c r="A7" s="5">
        <v>51100</v>
      </c>
      <c r="B7" t="s">
        <v>53</v>
      </c>
      <c r="E7" s="2">
        <v>1054117</v>
      </c>
      <c r="F7" s="2">
        <f>1021100+99000</f>
        <v>1120100</v>
      </c>
      <c r="G7" s="2">
        <v>1221800</v>
      </c>
      <c r="H7" s="2">
        <v>1221800</v>
      </c>
      <c r="I7" s="2">
        <v>888000</v>
      </c>
      <c r="J7" s="2">
        <v>888000</v>
      </c>
      <c r="K7" s="2">
        <v>894000</v>
      </c>
      <c r="L7" s="2">
        <v>744369</v>
      </c>
      <c r="M7" s="2">
        <v>450881</v>
      </c>
      <c r="O7" t="s">
        <v>183</v>
      </c>
      <c r="Q7">
        <f>48278+40000+48278+46000+45000+56278+30000+52000+40000+30000+40000+58250+40000+43000+48000+27000</f>
        <v>692084</v>
      </c>
      <c r="S7" t="s">
        <v>190</v>
      </c>
    </row>
    <row r="8" spans="1:19" x14ac:dyDescent="0.25">
      <c r="A8" s="5">
        <v>52100</v>
      </c>
      <c r="B8" t="s">
        <v>54</v>
      </c>
      <c r="E8" s="9">
        <v>167796</v>
      </c>
      <c r="F8" s="9">
        <v>202900</v>
      </c>
      <c r="G8" s="9">
        <v>196900</v>
      </c>
      <c r="H8" s="9">
        <v>196900</v>
      </c>
      <c r="I8" s="9">
        <f>12225+163000</f>
        <v>175225</v>
      </c>
      <c r="J8" s="9">
        <v>175000</v>
      </c>
      <c r="K8" s="9">
        <v>175000</v>
      </c>
      <c r="L8" s="9">
        <f>154617-2890</f>
        <v>151727</v>
      </c>
      <c r="M8" s="9">
        <v>177149</v>
      </c>
    </row>
    <row r="9" spans="1:19" x14ac:dyDescent="0.25">
      <c r="A9" s="5">
        <v>52200</v>
      </c>
      <c r="B9" t="s">
        <v>55</v>
      </c>
      <c r="E9" s="2">
        <v>80640</v>
      </c>
      <c r="F9" s="2">
        <f>78150+7600</f>
        <v>85750</v>
      </c>
      <c r="G9" s="2">
        <v>93500</v>
      </c>
      <c r="H9" s="2">
        <v>93500</v>
      </c>
      <c r="I9" s="2">
        <v>67950</v>
      </c>
      <c r="J9" s="2">
        <v>67950</v>
      </c>
      <c r="K9" s="2">
        <v>68500</v>
      </c>
      <c r="L9" s="2">
        <v>53283</v>
      </c>
      <c r="M9" s="2">
        <v>24915</v>
      </c>
      <c r="N9" s="16"/>
      <c r="O9" t="s">
        <v>182</v>
      </c>
    </row>
    <row r="10" spans="1:19" x14ac:dyDescent="0.25">
      <c r="A10" s="5">
        <v>52300</v>
      </c>
      <c r="B10" t="s">
        <v>56</v>
      </c>
      <c r="E10" s="2">
        <v>192270.93</v>
      </c>
      <c r="F10" s="2">
        <f>196500+18400</f>
        <v>214900</v>
      </c>
      <c r="G10" s="2">
        <v>235250</v>
      </c>
      <c r="H10" s="2">
        <v>235250</v>
      </c>
      <c r="I10" s="2">
        <v>179750</v>
      </c>
      <c r="J10" s="2">
        <v>188650</v>
      </c>
      <c r="K10" s="2">
        <v>194750</v>
      </c>
      <c r="L10" s="2">
        <v>121006</v>
      </c>
      <c r="M10" s="2">
        <v>62136</v>
      </c>
      <c r="N10" s="8"/>
    </row>
    <row r="11" spans="1:19" x14ac:dyDescent="0.25">
      <c r="A11" s="5">
        <v>52600</v>
      </c>
      <c r="B11" t="s">
        <v>57</v>
      </c>
      <c r="E11" s="2">
        <f>2500+63447.64</f>
        <v>65947.64</v>
      </c>
      <c r="F11" s="9">
        <v>66000</v>
      </c>
      <c r="G11" s="9">
        <v>66000</v>
      </c>
      <c r="H11" s="9">
        <v>66000</v>
      </c>
      <c r="I11" s="9">
        <v>60000</v>
      </c>
      <c r="J11" s="9">
        <v>60000</v>
      </c>
      <c r="K11" s="9">
        <v>60000</v>
      </c>
      <c r="L11" s="2">
        <v>84417</v>
      </c>
      <c r="M11" s="2">
        <v>46152</v>
      </c>
    </row>
    <row r="12" spans="1:19" x14ac:dyDescent="0.25">
      <c r="A12" s="5">
        <v>53201</v>
      </c>
      <c r="B12" t="s">
        <v>116</v>
      </c>
      <c r="E12" s="2">
        <v>3000</v>
      </c>
      <c r="F12" s="2">
        <v>3000</v>
      </c>
      <c r="G12" s="2">
        <v>3000</v>
      </c>
      <c r="H12" s="2">
        <v>3000</v>
      </c>
      <c r="I12" s="2">
        <v>1500</v>
      </c>
      <c r="J12" s="2">
        <v>1500</v>
      </c>
      <c r="K12" s="2">
        <v>1500</v>
      </c>
      <c r="L12" s="2">
        <v>6985</v>
      </c>
      <c r="M12" s="2">
        <v>1852</v>
      </c>
    </row>
    <row r="13" spans="1:19" x14ac:dyDescent="0.25">
      <c r="A13" s="5">
        <v>53300</v>
      </c>
      <c r="B13" t="s">
        <v>58</v>
      </c>
      <c r="E13" s="2">
        <v>9000</v>
      </c>
      <c r="F13" s="2">
        <v>9000</v>
      </c>
      <c r="G13" s="2">
        <v>9000</v>
      </c>
      <c r="H13" s="2">
        <v>9000</v>
      </c>
      <c r="I13" s="2">
        <v>0</v>
      </c>
      <c r="J13" s="2">
        <v>0</v>
      </c>
      <c r="K13" s="2">
        <v>0</v>
      </c>
      <c r="L13" s="2">
        <v>205</v>
      </c>
      <c r="M13" s="2">
        <v>0</v>
      </c>
    </row>
    <row r="14" spans="1:19" x14ac:dyDescent="0.25">
      <c r="A14" s="5">
        <v>53500</v>
      </c>
      <c r="B14" t="s">
        <v>82</v>
      </c>
      <c r="E14" s="2">
        <v>15129.96</v>
      </c>
      <c r="F14" s="9">
        <v>30000</v>
      </c>
      <c r="G14" s="9">
        <v>60000</v>
      </c>
      <c r="H14" s="9">
        <v>40765</v>
      </c>
      <c r="I14" s="9">
        <v>40765</v>
      </c>
      <c r="J14" s="9">
        <v>40765</v>
      </c>
      <c r="K14" s="9">
        <v>40000</v>
      </c>
      <c r="L14" s="2">
        <v>70348</v>
      </c>
      <c r="M14" s="2">
        <v>17617</v>
      </c>
    </row>
    <row r="15" spans="1:19" x14ac:dyDescent="0.25">
      <c r="A15" s="5">
        <v>53501</v>
      </c>
      <c r="B15" t="s">
        <v>117</v>
      </c>
      <c r="E15" s="2">
        <v>44870.400000000001</v>
      </c>
      <c r="F15" s="9">
        <v>44870</v>
      </c>
      <c r="G15" s="9">
        <v>96000</v>
      </c>
      <c r="H15" s="9">
        <v>96000</v>
      </c>
      <c r="I15" s="9">
        <v>90000</v>
      </c>
      <c r="J15" s="9">
        <v>90000</v>
      </c>
      <c r="K15" s="9">
        <v>95000</v>
      </c>
      <c r="L15" s="2">
        <v>104758</v>
      </c>
      <c r="M15" s="2">
        <v>67746</v>
      </c>
    </row>
    <row r="16" spans="1:19" x14ac:dyDescent="0.25">
      <c r="A16" s="5">
        <v>53502</v>
      </c>
      <c r="B16" t="s">
        <v>118</v>
      </c>
      <c r="E16" s="2">
        <v>500</v>
      </c>
      <c r="F16" s="2">
        <v>500</v>
      </c>
      <c r="G16" s="2">
        <v>500</v>
      </c>
      <c r="H16" s="2">
        <v>500</v>
      </c>
      <c r="I16" s="2">
        <v>500</v>
      </c>
      <c r="J16" s="2">
        <v>500</v>
      </c>
      <c r="K16" s="2">
        <v>500</v>
      </c>
      <c r="L16" s="2">
        <v>640</v>
      </c>
      <c r="M16" s="2">
        <v>285</v>
      </c>
    </row>
    <row r="17" spans="1:13" x14ac:dyDescent="0.25">
      <c r="A17" s="5">
        <v>53700</v>
      </c>
      <c r="B17" t="s">
        <v>119</v>
      </c>
      <c r="E17" s="2">
        <v>50000</v>
      </c>
      <c r="F17" s="2">
        <v>50000</v>
      </c>
      <c r="G17" s="2">
        <v>50000</v>
      </c>
      <c r="H17" s="2">
        <v>25000</v>
      </c>
      <c r="I17" s="2">
        <v>10000</v>
      </c>
      <c r="J17" s="2">
        <v>10000</v>
      </c>
      <c r="K17" s="2">
        <v>10000</v>
      </c>
      <c r="L17" s="2">
        <v>9575</v>
      </c>
      <c r="M17" s="2">
        <v>4050</v>
      </c>
    </row>
    <row r="18" spans="1:13" x14ac:dyDescent="0.25">
      <c r="A18" s="5">
        <v>54303</v>
      </c>
      <c r="B18" t="s">
        <v>85</v>
      </c>
      <c r="E18" s="2">
        <v>1500</v>
      </c>
      <c r="F18" s="2">
        <v>3000</v>
      </c>
      <c r="G18" s="2">
        <v>3000</v>
      </c>
      <c r="H18" s="2">
        <v>3000</v>
      </c>
      <c r="I18" s="2">
        <v>3000</v>
      </c>
      <c r="J18" s="2">
        <v>3000</v>
      </c>
      <c r="K18" s="2">
        <v>3000</v>
      </c>
      <c r="L18" s="2">
        <v>379</v>
      </c>
      <c r="M18" s="2">
        <v>1262</v>
      </c>
    </row>
    <row r="19" spans="1:13" x14ac:dyDescent="0.25">
      <c r="A19" s="5">
        <v>54304</v>
      </c>
      <c r="B19" t="s">
        <v>86</v>
      </c>
      <c r="E19" s="2">
        <v>2000</v>
      </c>
      <c r="F19" s="2">
        <v>2000</v>
      </c>
      <c r="G19" s="2">
        <v>2000</v>
      </c>
      <c r="H19" s="2">
        <v>2000</v>
      </c>
      <c r="I19" s="2">
        <v>2000</v>
      </c>
      <c r="J19" s="2">
        <v>2000</v>
      </c>
      <c r="K19" s="2">
        <v>2000</v>
      </c>
      <c r="L19" s="2">
        <v>27208</v>
      </c>
      <c r="M19" s="2">
        <v>286</v>
      </c>
    </row>
    <row r="20" spans="1:13" x14ac:dyDescent="0.25">
      <c r="A20" s="5">
        <v>54305</v>
      </c>
      <c r="B20" t="s">
        <v>59</v>
      </c>
      <c r="E20" s="2">
        <v>39.36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</row>
    <row r="21" spans="1:13" x14ac:dyDescent="0.25">
      <c r="A21" s="5">
        <v>54307</v>
      </c>
      <c r="B21" t="s">
        <v>60</v>
      </c>
      <c r="E21" s="2">
        <v>72360</v>
      </c>
      <c r="F21" s="9">
        <v>72360</v>
      </c>
      <c r="G21" s="9">
        <v>72360</v>
      </c>
      <c r="H21" s="9">
        <v>72360</v>
      </c>
      <c r="I21" s="9">
        <v>72360</v>
      </c>
      <c r="J21" s="9">
        <v>72360</v>
      </c>
      <c r="K21" s="9">
        <v>74000</v>
      </c>
      <c r="L21" s="2">
        <v>74370</v>
      </c>
      <c r="M21" s="2">
        <v>18967</v>
      </c>
    </row>
    <row r="22" spans="1:13" x14ac:dyDescent="0.25">
      <c r="A22" s="5">
        <v>55200</v>
      </c>
      <c r="B22" t="s">
        <v>61</v>
      </c>
      <c r="E22" s="2">
        <v>73419</v>
      </c>
      <c r="F22" s="9">
        <v>80000</v>
      </c>
      <c r="G22" s="9">
        <v>80000</v>
      </c>
      <c r="H22" s="9">
        <v>80000</v>
      </c>
      <c r="I22" s="9">
        <v>50000</v>
      </c>
      <c r="J22" s="9">
        <v>73400</v>
      </c>
      <c r="K22" s="9">
        <v>85000</v>
      </c>
      <c r="L22" s="2">
        <v>107326</v>
      </c>
      <c r="M22" s="2">
        <v>75953</v>
      </c>
    </row>
    <row r="23" spans="1:13" x14ac:dyDescent="0.25">
      <c r="A23" s="5">
        <v>55300</v>
      </c>
      <c r="B23" t="s">
        <v>87</v>
      </c>
      <c r="E23" s="2">
        <v>15700</v>
      </c>
      <c r="F23" s="2">
        <v>15700</v>
      </c>
      <c r="G23" s="2">
        <v>15700</v>
      </c>
      <c r="H23" s="2">
        <v>15700</v>
      </c>
      <c r="I23" s="2">
        <v>10000</v>
      </c>
      <c r="J23" s="2">
        <v>10000</v>
      </c>
      <c r="K23" s="2">
        <v>10000</v>
      </c>
      <c r="L23" s="2">
        <v>11533</v>
      </c>
      <c r="M23" s="2">
        <v>7227</v>
      </c>
    </row>
    <row r="24" spans="1:13" x14ac:dyDescent="0.25">
      <c r="A24" s="5">
        <v>55301</v>
      </c>
      <c r="B24" t="s">
        <v>62</v>
      </c>
      <c r="E24" s="2">
        <v>14082.34</v>
      </c>
      <c r="F24" s="2">
        <v>14100</v>
      </c>
      <c r="G24" s="2">
        <v>14100</v>
      </c>
      <c r="H24" s="2">
        <v>14100</v>
      </c>
      <c r="I24" s="2">
        <v>14100</v>
      </c>
      <c r="J24" s="2">
        <v>14100</v>
      </c>
      <c r="K24" s="2">
        <v>14100</v>
      </c>
      <c r="L24" s="2">
        <v>16642</v>
      </c>
      <c r="M24" s="2">
        <v>12442</v>
      </c>
    </row>
    <row r="25" spans="1:13" x14ac:dyDescent="0.25">
      <c r="A25" s="5">
        <v>55302</v>
      </c>
      <c r="B25" t="s">
        <v>120</v>
      </c>
      <c r="E25" s="2">
        <v>9895</v>
      </c>
      <c r="F25" s="2">
        <v>9900</v>
      </c>
      <c r="G25" s="2">
        <v>9900</v>
      </c>
      <c r="H25" s="2">
        <v>9900</v>
      </c>
      <c r="I25" s="2">
        <v>14000</v>
      </c>
      <c r="J25" s="2">
        <v>14000</v>
      </c>
      <c r="K25" s="2">
        <v>14000</v>
      </c>
      <c r="L25" s="2">
        <v>13003</v>
      </c>
      <c r="M25" s="2">
        <v>941</v>
      </c>
    </row>
    <row r="26" spans="1:13" x14ac:dyDescent="0.25">
      <c r="A26" s="5">
        <v>55400</v>
      </c>
      <c r="B26" t="s">
        <v>88</v>
      </c>
      <c r="E26" s="2">
        <v>500</v>
      </c>
      <c r="F26" s="2">
        <v>500</v>
      </c>
      <c r="G26" s="2">
        <v>500</v>
      </c>
      <c r="H26" s="2">
        <v>500</v>
      </c>
      <c r="I26" s="2">
        <v>500</v>
      </c>
      <c r="J26" s="2">
        <v>500</v>
      </c>
      <c r="K26" s="2">
        <v>500</v>
      </c>
      <c r="L26" s="2">
        <v>583</v>
      </c>
      <c r="M26" s="2">
        <v>3519</v>
      </c>
    </row>
    <row r="27" spans="1:13" x14ac:dyDescent="0.25">
      <c r="A27" s="5">
        <v>55460</v>
      </c>
      <c r="B27" t="s">
        <v>121</v>
      </c>
      <c r="E27" s="2">
        <v>2500</v>
      </c>
      <c r="F27" s="2">
        <v>2500</v>
      </c>
      <c r="G27" s="2">
        <v>2500</v>
      </c>
      <c r="H27" s="2">
        <v>2500</v>
      </c>
      <c r="I27" s="2">
        <v>1000</v>
      </c>
      <c r="J27" s="2">
        <v>1000</v>
      </c>
      <c r="K27" s="2">
        <v>1000</v>
      </c>
      <c r="L27" s="2">
        <f>21+1529</f>
        <v>1550</v>
      </c>
      <c r="M27" s="2">
        <v>1804</v>
      </c>
    </row>
    <row r="28" spans="1:13" x14ac:dyDescent="0.25">
      <c r="A28" s="5">
        <v>55500</v>
      </c>
      <c r="B28" t="s">
        <v>63</v>
      </c>
      <c r="E28" s="2">
        <v>46089.48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">
        <v>0</v>
      </c>
      <c r="M28" s="2">
        <v>0</v>
      </c>
    </row>
    <row r="29" spans="1:13" x14ac:dyDescent="0.25">
      <c r="A29" s="5">
        <v>55600</v>
      </c>
      <c r="B29" t="s">
        <v>65</v>
      </c>
      <c r="E29" s="2">
        <v>5000</v>
      </c>
      <c r="F29" s="2">
        <v>3500</v>
      </c>
      <c r="G29" s="2">
        <v>4000</v>
      </c>
      <c r="H29" s="2">
        <v>4000</v>
      </c>
      <c r="I29" s="2">
        <v>4000</v>
      </c>
      <c r="J29" s="2">
        <v>4000</v>
      </c>
      <c r="K29" s="2">
        <v>4000</v>
      </c>
      <c r="L29" s="2">
        <v>8948</v>
      </c>
      <c r="M29" s="2">
        <v>4353</v>
      </c>
    </row>
    <row r="30" spans="1:13" x14ac:dyDescent="0.25">
      <c r="A30" s="5">
        <v>55710</v>
      </c>
      <c r="B30" t="s">
        <v>108</v>
      </c>
      <c r="E30" s="2">
        <v>2500</v>
      </c>
      <c r="F30" s="2">
        <v>2500</v>
      </c>
      <c r="G30" s="2">
        <v>2500</v>
      </c>
      <c r="H30" s="2">
        <v>2500</v>
      </c>
      <c r="I30" s="2">
        <v>1500</v>
      </c>
      <c r="J30" s="2">
        <v>1500</v>
      </c>
      <c r="K30" s="2">
        <v>1500</v>
      </c>
      <c r="L30" s="2">
        <v>782</v>
      </c>
      <c r="M30" s="2">
        <v>2562</v>
      </c>
    </row>
    <row r="31" spans="1:13" x14ac:dyDescent="0.25">
      <c r="A31" s="5">
        <v>55720</v>
      </c>
      <c r="B31" t="s">
        <v>66</v>
      </c>
      <c r="E31" s="2">
        <v>4000</v>
      </c>
      <c r="F31" s="2">
        <v>4000</v>
      </c>
      <c r="G31" s="2">
        <v>4000</v>
      </c>
      <c r="H31" s="2">
        <v>4000</v>
      </c>
      <c r="I31" s="2">
        <v>2000</v>
      </c>
      <c r="J31" s="2">
        <v>2000</v>
      </c>
      <c r="K31" s="2">
        <v>2000</v>
      </c>
      <c r="L31" s="2">
        <v>3920</v>
      </c>
      <c r="M31" s="2">
        <v>5145</v>
      </c>
    </row>
    <row r="32" spans="1:13" x14ac:dyDescent="0.25">
      <c r="A32" s="5">
        <v>55800</v>
      </c>
      <c r="B32" t="s">
        <v>122</v>
      </c>
      <c r="E32" s="2">
        <v>3770</v>
      </c>
      <c r="F32" s="2">
        <v>2350</v>
      </c>
      <c r="G32" s="2">
        <v>2350</v>
      </c>
      <c r="H32" s="2">
        <v>2350</v>
      </c>
      <c r="I32" s="2">
        <v>2350</v>
      </c>
      <c r="J32" s="2">
        <v>2350</v>
      </c>
      <c r="K32" s="2">
        <v>2350</v>
      </c>
      <c r="L32" s="2">
        <v>912</v>
      </c>
      <c r="M32" s="2">
        <v>-495</v>
      </c>
    </row>
    <row r="33" spans="1:15" x14ac:dyDescent="0.25">
      <c r="A33" s="5">
        <v>55840</v>
      </c>
      <c r="B33" t="s">
        <v>68</v>
      </c>
      <c r="E33" s="2">
        <v>3500</v>
      </c>
      <c r="F33" s="2">
        <v>3500</v>
      </c>
      <c r="G33" s="2">
        <v>3500</v>
      </c>
      <c r="H33" s="2">
        <v>3500</v>
      </c>
      <c r="I33" s="2">
        <v>3100</v>
      </c>
      <c r="J33" s="2">
        <v>3100</v>
      </c>
      <c r="K33" s="2">
        <v>3100</v>
      </c>
      <c r="L33" s="2">
        <f>23+1059</f>
        <v>1082</v>
      </c>
      <c r="M33" s="2">
        <f>511+2629</f>
        <v>3140</v>
      </c>
    </row>
    <row r="34" spans="1:15" x14ac:dyDescent="0.25">
      <c r="A34" s="5">
        <v>55850</v>
      </c>
      <c r="B34" t="s">
        <v>69</v>
      </c>
      <c r="E34" s="2">
        <v>2000</v>
      </c>
      <c r="F34" s="2">
        <v>2000</v>
      </c>
      <c r="G34" s="2">
        <v>2000</v>
      </c>
      <c r="H34" s="2">
        <v>2000</v>
      </c>
      <c r="I34" s="2">
        <v>2000</v>
      </c>
      <c r="J34" s="2">
        <v>2000</v>
      </c>
      <c r="K34" s="2">
        <v>2000</v>
      </c>
      <c r="L34" s="2">
        <v>0</v>
      </c>
      <c r="M34" s="2">
        <v>0</v>
      </c>
    </row>
    <row r="35" spans="1:15" x14ac:dyDescent="0.25">
      <c r="A35" s="5">
        <v>55900</v>
      </c>
      <c r="B35" t="s">
        <v>70</v>
      </c>
      <c r="E35" s="2">
        <v>2250</v>
      </c>
      <c r="F35" s="2">
        <v>2250</v>
      </c>
      <c r="G35" s="2">
        <v>2250</v>
      </c>
      <c r="H35" s="2">
        <v>2250</v>
      </c>
      <c r="I35" s="2">
        <v>2250</v>
      </c>
      <c r="J35" s="2">
        <v>2250</v>
      </c>
      <c r="K35" s="2">
        <v>2250</v>
      </c>
      <c r="L35" s="2">
        <v>3057</v>
      </c>
      <c r="M35" s="2">
        <v>1740</v>
      </c>
    </row>
    <row r="36" spans="1:15" x14ac:dyDescent="0.25">
      <c r="A36" s="5">
        <v>56100</v>
      </c>
      <c r="B36" t="s">
        <v>95</v>
      </c>
      <c r="E36" s="2">
        <v>25000</v>
      </c>
      <c r="F36" s="2">
        <v>25000</v>
      </c>
      <c r="G36" s="2">
        <v>18000</v>
      </c>
      <c r="H36" s="2">
        <v>18000</v>
      </c>
      <c r="I36" s="2">
        <v>18000</v>
      </c>
      <c r="J36" s="2">
        <v>18000</v>
      </c>
      <c r="K36" s="2">
        <v>18000</v>
      </c>
      <c r="L36" s="2">
        <v>70532</v>
      </c>
      <c r="M36" s="2">
        <v>2488</v>
      </c>
    </row>
    <row r="37" spans="1:15" x14ac:dyDescent="0.25">
      <c r="A37" s="5">
        <v>56102</v>
      </c>
      <c r="B37" t="s">
        <v>96</v>
      </c>
      <c r="E37" s="2">
        <v>1000</v>
      </c>
      <c r="F37" s="2">
        <v>1000</v>
      </c>
      <c r="G37" s="2">
        <v>1000</v>
      </c>
      <c r="H37" s="2">
        <v>1000</v>
      </c>
      <c r="I37" s="2">
        <v>1000</v>
      </c>
      <c r="J37" s="2">
        <v>1000</v>
      </c>
      <c r="K37" s="2">
        <v>1000</v>
      </c>
      <c r="L37" s="2">
        <v>0</v>
      </c>
      <c r="M37" s="2">
        <v>1350</v>
      </c>
    </row>
    <row r="38" spans="1:15" x14ac:dyDescent="0.25">
      <c r="A38" s="5">
        <v>56105</v>
      </c>
      <c r="B38" t="s">
        <v>113</v>
      </c>
      <c r="E38" s="2">
        <v>5000</v>
      </c>
      <c r="F38" s="2">
        <v>5000</v>
      </c>
      <c r="G38" s="2">
        <v>5000</v>
      </c>
      <c r="H38" s="2">
        <v>5000</v>
      </c>
      <c r="I38" s="2">
        <v>5000</v>
      </c>
      <c r="J38" s="2">
        <v>5000</v>
      </c>
      <c r="K38" s="2">
        <v>5000</v>
      </c>
      <c r="L38" s="2">
        <v>30667</v>
      </c>
      <c r="M38" s="2">
        <v>10014</v>
      </c>
    </row>
    <row r="39" spans="1:15" x14ac:dyDescent="0.25">
      <c r="A39" s="5">
        <v>56220</v>
      </c>
      <c r="B39" t="s">
        <v>97</v>
      </c>
      <c r="E39" s="2">
        <v>10000</v>
      </c>
      <c r="F39" s="9">
        <v>10000</v>
      </c>
      <c r="G39" s="9">
        <v>10000</v>
      </c>
      <c r="H39" s="9">
        <v>10000</v>
      </c>
      <c r="I39" s="9">
        <v>10000</v>
      </c>
      <c r="J39" s="9">
        <v>10000</v>
      </c>
      <c r="K39" s="9">
        <v>10000</v>
      </c>
      <c r="L39" s="2">
        <f>17+7446</f>
        <v>7463</v>
      </c>
      <c r="M39" s="2">
        <v>5049</v>
      </c>
    </row>
    <row r="40" spans="1:15" x14ac:dyDescent="0.25">
      <c r="A40" s="5">
        <v>56222</v>
      </c>
      <c r="B40" t="s">
        <v>99</v>
      </c>
      <c r="E40" s="2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">
        <v>0</v>
      </c>
      <c r="M40" s="2">
        <v>0</v>
      </c>
    </row>
    <row r="41" spans="1:15" x14ac:dyDescent="0.25">
      <c r="A41" s="5">
        <v>56260</v>
      </c>
      <c r="B41" t="s">
        <v>100</v>
      </c>
      <c r="E41" s="2">
        <v>45000</v>
      </c>
      <c r="F41" s="2">
        <v>50000</v>
      </c>
      <c r="G41" s="2">
        <v>50000</v>
      </c>
      <c r="H41" s="2">
        <v>50000</v>
      </c>
      <c r="I41" s="2">
        <v>65000</v>
      </c>
      <c r="J41" s="2">
        <v>65000</v>
      </c>
      <c r="K41" s="2">
        <v>65000</v>
      </c>
      <c r="L41" s="2">
        <v>65882</v>
      </c>
      <c r="M41" s="2">
        <v>31154</v>
      </c>
    </row>
    <row r="42" spans="1:15" x14ac:dyDescent="0.25">
      <c r="A42" s="5">
        <v>56500</v>
      </c>
      <c r="B42" t="s">
        <v>71</v>
      </c>
      <c r="E42" s="2">
        <v>1000</v>
      </c>
      <c r="F42" s="2">
        <v>1000</v>
      </c>
      <c r="G42" s="2">
        <v>1000</v>
      </c>
      <c r="H42" s="2">
        <v>1000</v>
      </c>
      <c r="I42" s="2">
        <v>1000</v>
      </c>
      <c r="J42" s="2">
        <v>1000</v>
      </c>
      <c r="K42" s="2">
        <v>1000</v>
      </c>
      <c r="L42" s="2">
        <v>337</v>
      </c>
      <c r="M42" s="2">
        <f>337+877</f>
        <v>1214</v>
      </c>
    </row>
    <row r="43" spans="1:15" x14ac:dyDescent="0.25">
      <c r="A43" s="5">
        <v>58400</v>
      </c>
      <c r="B43" t="s">
        <v>114</v>
      </c>
      <c r="E43" s="2">
        <v>0</v>
      </c>
      <c r="F43" s="2">
        <v>50000</v>
      </c>
      <c r="G43" s="2">
        <v>35000</v>
      </c>
      <c r="H43" s="2">
        <v>35000</v>
      </c>
      <c r="I43" s="2">
        <v>20000</v>
      </c>
      <c r="J43" s="2">
        <v>20000</v>
      </c>
      <c r="K43" s="2">
        <v>20000</v>
      </c>
      <c r="L43" s="2">
        <v>25359</v>
      </c>
      <c r="M43" s="2">
        <v>4793</v>
      </c>
    </row>
    <row r="44" spans="1:15" x14ac:dyDescent="0.25">
      <c r="A44" s="5">
        <v>58700</v>
      </c>
      <c r="B44" t="s">
        <v>115</v>
      </c>
      <c r="E44" s="2">
        <v>0</v>
      </c>
      <c r="F44" s="2">
        <v>7500</v>
      </c>
      <c r="G44" s="2">
        <v>7500</v>
      </c>
      <c r="H44" s="2">
        <v>7500</v>
      </c>
      <c r="I44" s="2">
        <v>7500</v>
      </c>
      <c r="J44" s="2">
        <v>7500</v>
      </c>
      <c r="K44" s="2">
        <v>7500</v>
      </c>
      <c r="L44" s="2">
        <v>20028</v>
      </c>
      <c r="M44" s="2">
        <v>4646</v>
      </c>
    </row>
    <row r="45" spans="1:15" ht="17.25" x14ac:dyDescent="0.4">
      <c r="A45" s="5">
        <v>59300</v>
      </c>
      <c r="B45" t="s">
        <v>132</v>
      </c>
      <c r="E45" s="4">
        <v>20000</v>
      </c>
      <c r="F45" s="10">
        <v>20000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884</v>
      </c>
      <c r="M45" s="10">
        <v>356</v>
      </c>
    </row>
    <row r="46" spans="1:15" x14ac:dyDescent="0.25">
      <c r="A46" s="5"/>
      <c r="E46" s="2"/>
      <c r="F46" s="2"/>
      <c r="G46" s="2"/>
      <c r="H46" s="2"/>
      <c r="I46" s="2"/>
      <c r="J46" s="2"/>
      <c r="K46" s="2"/>
      <c r="L46" s="2"/>
      <c r="M46" s="2"/>
    </row>
    <row r="47" spans="1:15" ht="17.25" x14ac:dyDescent="0.4">
      <c r="A47" s="5"/>
      <c r="B47" s="1" t="s">
        <v>81</v>
      </c>
      <c r="E47" s="7">
        <f t="shared" ref="E47:M47" si="0">SUM(E7:E46)</f>
        <v>2051377.1099999999</v>
      </c>
      <c r="F47" s="7">
        <f t="shared" si="0"/>
        <v>2216680</v>
      </c>
      <c r="G47" s="7">
        <f t="shared" si="0"/>
        <v>2380110</v>
      </c>
      <c r="H47" s="7">
        <f t="shared" si="0"/>
        <v>2335875</v>
      </c>
      <c r="I47" s="7">
        <f t="shared" si="0"/>
        <v>1825350</v>
      </c>
      <c r="J47" s="7">
        <f t="shared" si="0"/>
        <v>1857425</v>
      </c>
      <c r="K47" s="7">
        <f t="shared" si="0"/>
        <v>1887550</v>
      </c>
      <c r="L47" s="7">
        <f t="shared" si="0"/>
        <v>1839760</v>
      </c>
      <c r="M47" s="7">
        <f t="shared" si="0"/>
        <v>1052693</v>
      </c>
      <c r="O47" s="26">
        <f>M47/J47</f>
        <v>0.5667485901180398</v>
      </c>
    </row>
  </sheetData>
  <mergeCells count="1">
    <mergeCell ref="B6:C6"/>
  </mergeCells>
  <phoneticPr fontId="7" type="noConversion"/>
  <pageMargins left="0.25" right="0.25" top="0.75" bottom="0.75" header="0.3" footer="0.3"/>
  <pageSetup scale="52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EAADA-5F00-48FD-B256-452BCF0BB630}">
  <sheetPr>
    <pageSetUpPr fitToPage="1"/>
  </sheetPr>
  <dimension ref="A1:L46"/>
  <sheetViews>
    <sheetView topLeftCell="A16" workbookViewId="0">
      <selection activeCell="L71" sqref="L71"/>
    </sheetView>
  </sheetViews>
  <sheetFormatPr defaultRowHeight="15" x14ac:dyDescent="0.25"/>
  <cols>
    <col min="6" max="6" width="14.28515625" customWidth="1"/>
    <col min="7" max="7" width="14.140625" customWidth="1"/>
    <col min="8" max="8" width="14.28515625" bestFit="1" customWidth="1"/>
    <col min="9" max="11" width="14.28515625" customWidth="1"/>
    <col min="12" max="12" width="14.28515625" bestFit="1" customWidth="1"/>
  </cols>
  <sheetData>
    <row r="1" spans="1:12" x14ac:dyDescent="0.25">
      <c r="A1" t="s">
        <v>204</v>
      </c>
    </row>
    <row r="2" spans="1:12" x14ac:dyDescent="0.25">
      <c r="A2" t="s">
        <v>146</v>
      </c>
    </row>
    <row r="5" spans="1:12" x14ac:dyDescent="0.25">
      <c r="A5" s="1"/>
      <c r="B5" s="1"/>
      <c r="C5" s="1"/>
      <c r="D5" s="1"/>
      <c r="E5" s="1"/>
      <c r="F5" s="11" t="s">
        <v>139</v>
      </c>
      <c r="G5" s="11" t="s">
        <v>137</v>
      </c>
      <c r="H5" s="11" t="s">
        <v>156</v>
      </c>
      <c r="I5" s="11" t="s">
        <v>171</v>
      </c>
      <c r="J5" s="11" t="s">
        <v>186</v>
      </c>
      <c r="K5" s="11" t="s">
        <v>203</v>
      </c>
      <c r="L5" s="22">
        <v>45107</v>
      </c>
    </row>
    <row r="6" spans="1:12" x14ac:dyDescent="0.25">
      <c r="A6" s="12" t="s">
        <v>46</v>
      </c>
      <c r="B6" s="33" t="s">
        <v>47</v>
      </c>
      <c r="C6" s="33"/>
      <c r="D6" s="33"/>
      <c r="E6" s="1"/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138</v>
      </c>
      <c r="L6" s="12" t="s">
        <v>167</v>
      </c>
    </row>
    <row r="7" spans="1:12" x14ac:dyDescent="0.25">
      <c r="A7" s="5">
        <v>51100</v>
      </c>
      <c r="B7" t="s">
        <v>53</v>
      </c>
      <c r="F7" s="2">
        <v>1018000</v>
      </c>
      <c r="G7" s="2">
        <v>1082000</v>
      </c>
      <c r="H7" s="2">
        <v>1076600</v>
      </c>
      <c r="I7" s="2">
        <v>1100000</v>
      </c>
      <c r="J7" s="2">
        <v>1225000</v>
      </c>
      <c r="K7" s="2">
        <v>1225000</v>
      </c>
      <c r="L7" s="2">
        <f>1067640+2662</f>
        <v>1070302</v>
      </c>
    </row>
    <row r="8" spans="1:12" x14ac:dyDescent="0.25">
      <c r="A8" s="5">
        <v>51200</v>
      </c>
      <c r="B8" t="s">
        <v>123</v>
      </c>
      <c r="F8" s="2">
        <v>18000</v>
      </c>
      <c r="G8" s="2">
        <v>18000</v>
      </c>
      <c r="H8" s="2">
        <v>10000</v>
      </c>
      <c r="I8" s="2">
        <v>10300</v>
      </c>
      <c r="J8" s="2">
        <v>10300</v>
      </c>
      <c r="K8" s="2">
        <v>10300</v>
      </c>
      <c r="L8" s="2">
        <v>10833</v>
      </c>
    </row>
    <row r="9" spans="1:12" x14ac:dyDescent="0.25">
      <c r="A9" s="5">
        <v>52100</v>
      </c>
      <c r="B9" t="s">
        <v>54</v>
      </c>
      <c r="F9" s="9">
        <v>165000</v>
      </c>
      <c r="G9" s="9">
        <v>200000</v>
      </c>
      <c r="H9" s="9">
        <v>187500</v>
      </c>
      <c r="I9" s="9">
        <v>187500</v>
      </c>
      <c r="J9" s="9">
        <v>187500</v>
      </c>
      <c r="K9" s="9">
        <v>187500</v>
      </c>
      <c r="L9" s="9">
        <f>222447-4376</f>
        <v>218071</v>
      </c>
    </row>
    <row r="10" spans="1:12" x14ac:dyDescent="0.25">
      <c r="A10" s="5">
        <v>52200</v>
      </c>
      <c r="B10" t="s">
        <v>55</v>
      </c>
      <c r="F10" s="2">
        <v>77900</v>
      </c>
      <c r="G10" s="2">
        <v>82773</v>
      </c>
      <c r="H10" s="2">
        <v>82400</v>
      </c>
      <c r="I10" s="2">
        <v>82400</v>
      </c>
      <c r="J10" s="2">
        <v>82400</v>
      </c>
      <c r="K10" s="2">
        <v>82400</v>
      </c>
      <c r="L10" s="9">
        <v>77678</v>
      </c>
    </row>
    <row r="11" spans="1:12" x14ac:dyDescent="0.25">
      <c r="A11" s="5">
        <v>52300</v>
      </c>
      <c r="B11" t="s">
        <v>56</v>
      </c>
      <c r="F11" s="2">
        <v>175500</v>
      </c>
      <c r="G11" s="2">
        <v>208177</v>
      </c>
      <c r="H11" s="2">
        <v>207150</v>
      </c>
      <c r="I11" s="2">
        <v>207150</v>
      </c>
      <c r="J11" s="2">
        <v>207150</v>
      </c>
      <c r="K11" s="2">
        <v>207150</v>
      </c>
      <c r="L11" s="9">
        <v>174285</v>
      </c>
    </row>
    <row r="12" spans="1:12" x14ac:dyDescent="0.25">
      <c r="A12" s="5">
        <v>52600</v>
      </c>
      <c r="B12" t="s">
        <v>57</v>
      </c>
      <c r="F12" s="2">
        <v>60552</v>
      </c>
      <c r="G12" s="9">
        <v>60552</v>
      </c>
      <c r="H12" s="9">
        <v>75000</v>
      </c>
      <c r="I12" s="9">
        <v>75000</v>
      </c>
      <c r="J12" s="9">
        <v>75000</v>
      </c>
      <c r="K12" s="9">
        <v>75000</v>
      </c>
      <c r="L12" s="9">
        <f>6473+85442</f>
        <v>91915</v>
      </c>
    </row>
    <row r="13" spans="1:12" x14ac:dyDescent="0.25">
      <c r="A13" s="5">
        <v>53201</v>
      </c>
      <c r="B13" t="s">
        <v>116</v>
      </c>
      <c r="F13" s="2">
        <v>21000</v>
      </c>
      <c r="G13" s="2">
        <v>21000</v>
      </c>
      <c r="H13" s="2">
        <v>21000</v>
      </c>
      <c r="I13" s="2">
        <v>21000</v>
      </c>
      <c r="J13" s="2">
        <v>21000</v>
      </c>
      <c r="K13" s="2">
        <v>21000</v>
      </c>
      <c r="L13" s="9">
        <v>17481</v>
      </c>
    </row>
    <row r="14" spans="1:12" x14ac:dyDescent="0.25">
      <c r="A14" s="5">
        <v>53300</v>
      </c>
      <c r="B14" t="s">
        <v>58</v>
      </c>
      <c r="F14" s="2">
        <v>500</v>
      </c>
      <c r="G14" s="2">
        <v>500</v>
      </c>
      <c r="H14" s="2">
        <v>500</v>
      </c>
      <c r="I14" s="2">
        <v>500</v>
      </c>
      <c r="J14" s="2">
        <v>500</v>
      </c>
      <c r="K14" s="2">
        <v>500</v>
      </c>
      <c r="L14" s="9">
        <v>0</v>
      </c>
    </row>
    <row r="15" spans="1:12" x14ac:dyDescent="0.25">
      <c r="A15" s="5">
        <v>53400</v>
      </c>
      <c r="B15" t="s">
        <v>130</v>
      </c>
      <c r="F15" s="2">
        <v>5200</v>
      </c>
      <c r="G15" s="2">
        <v>5200</v>
      </c>
      <c r="H15" s="2">
        <v>6200</v>
      </c>
      <c r="I15" s="2">
        <v>6200</v>
      </c>
      <c r="J15" s="2">
        <v>6600</v>
      </c>
      <c r="K15" s="2">
        <v>6600</v>
      </c>
      <c r="L15" s="9">
        <v>5422</v>
      </c>
    </row>
    <row r="16" spans="1:12" x14ac:dyDescent="0.25">
      <c r="A16" s="5">
        <v>53500</v>
      </c>
      <c r="B16" t="s">
        <v>82</v>
      </c>
      <c r="F16" s="2">
        <v>15000</v>
      </c>
      <c r="G16" s="2">
        <v>15000</v>
      </c>
      <c r="H16" s="2">
        <v>16000</v>
      </c>
      <c r="I16" s="2">
        <v>16000</v>
      </c>
      <c r="J16" s="2">
        <v>17350</v>
      </c>
      <c r="K16" s="2">
        <v>17350</v>
      </c>
      <c r="L16" s="9">
        <v>42225</v>
      </c>
    </row>
    <row r="17" spans="1:12" x14ac:dyDescent="0.25">
      <c r="A17" s="5">
        <v>53630</v>
      </c>
      <c r="B17" t="s">
        <v>127</v>
      </c>
      <c r="F17" s="2">
        <v>28000</v>
      </c>
      <c r="G17" s="2">
        <v>14000</v>
      </c>
      <c r="H17" s="2">
        <v>14000</v>
      </c>
      <c r="I17" s="2">
        <v>14000</v>
      </c>
      <c r="J17" s="2">
        <v>14280</v>
      </c>
      <c r="K17" s="2">
        <v>14280</v>
      </c>
      <c r="L17" s="9">
        <v>11508</v>
      </c>
    </row>
    <row r="18" spans="1:12" x14ac:dyDescent="0.25">
      <c r="A18" s="5">
        <v>54300</v>
      </c>
      <c r="B18" t="s">
        <v>128</v>
      </c>
      <c r="F18" s="2">
        <v>5000</v>
      </c>
      <c r="G18" s="2">
        <v>5000</v>
      </c>
      <c r="H18" s="2">
        <v>5000</v>
      </c>
      <c r="I18" s="2">
        <v>5000</v>
      </c>
      <c r="J18" s="2">
        <v>5200</v>
      </c>
      <c r="K18" s="2">
        <v>5200</v>
      </c>
      <c r="L18" s="9">
        <v>7363</v>
      </c>
    </row>
    <row r="19" spans="1:12" x14ac:dyDescent="0.25">
      <c r="A19" s="5">
        <v>54302</v>
      </c>
      <c r="B19" t="s">
        <v>84</v>
      </c>
      <c r="F19" s="2">
        <v>32200</v>
      </c>
      <c r="G19" s="9">
        <v>14000</v>
      </c>
      <c r="H19" s="9">
        <v>14000</v>
      </c>
      <c r="I19" s="9">
        <v>14000</v>
      </c>
      <c r="J19" s="9">
        <v>14000</v>
      </c>
      <c r="K19" s="9">
        <v>14000</v>
      </c>
      <c r="L19" s="9">
        <v>4422</v>
      </c>
    </row>
    <row r="20" spans="1:12" x14ac:dyDescent="0.25">
      <c r="A20" s="5">
        <v>54304</v>
      </c>
      <c r="B20" t="s">
        <v>86</v>
      </c>
      <c r="F20" s="2">
        <v>11000</v>
      </c>
      <c r="G20" s="2">
        <v>11000</v>
      </c>
      <c r="H20" s="2">
        <v>11000</v>
      </c>
      <c r="I20" s="2">
        <v>11000</v>
      </c>
      <c r="J20" s="2">
        <v>11400</v>
      </c>
      <c r="K20" s="2">
        <v>11400</v>
      </c>
      <c r="L20" s="9">
        <v>16028</v>
      </c>
    </row>
    <row r="21" spans="1:12" x14ac:dyDescent="0.25">
      <c r="A21" s="5">
        <v>54305</v>
      </c>
      <c r="B21" t="s">
        <v>59</v>
      </c>
      <c r="F21" s="2">
        <v>150</v>
      </c>
      <c r="G21" s="2">
        <v>150</v>
      </c>
      <c r="H21" s="2">
        <v>150</v>
      </c>
      <c r="I21" s="2">
        <v>150</v>
      </c>
      <c r="J21" s="2">
        <v>0</v>
      </c>
      <c r="K21" s="2">
        <v>0</v>
      </c>
      <c r="L21" s="9">
        <v>0</v>
      </c>
    </row>
    <row r="22" spans="1:12" x14ac:dyDescent="0.25">
      <c r="A22" s="5">
        <v>54500</v>
      </c>
      <c r="B22" t="s">
        <v>95</v>
      </c>
      <c r="F22" s="2">
        <v>5500</v>
      </c>
      <c r="G22" s="2">
        <v>5500</v>
      </c>
      <c r="H22" s="2">
        <v>5500</v>
      </c>
      <c r="I22" s="2">
        <v>5500</v>
      </c>
      <c r="J22" s="2">
        <v>5500</v>
      </c>
      <c r="K22" s="2">
        <v>5500</v>
      </c>
      <c r="L22" s="9">
        <v>3969</v>
      </c>
    </row>
    <row r="23" spans="1:12" x14ac:dyDescent="0.25">
      <c r="A23" s="5">
        <v>55200</v>
      </c>
      <c r="B23" t="s">
        <v>61</v>
      </c>
      <c r="F23" s="2">
        <v>66000</v>
      </c>
      <c r="G23" s="9">
        <v>76000</v>
      </c>
      <c r="H23" s="9">
        <v>71000</v>
      </c>
      <c r="I23" s="9">
        <v>71000</v>
      </c>
      <c r="J23" s="9">
        <v>71000</v>
      </c>
      <c r="K23" s="9">
        <v>71000</v>
      </c>
      <c r="L23" s="9">
        <v>116911</v>
      </c>
    </row>
    <row r="24" spans="1:12" x14ac:dyDescent="0.25">
      <c r="A24" s="5">
        <v>55300</v>
      </c>
      <c r="B24" t="s">
        <v>87</v>
      </c>
      <c r="F24" s="2">
        <v>13500</v>
      </c>
      <c r="G24" s="2">
        <v>13500</v>
      </c>
      <c r="H24" s="2">
        <v>13860</v>
      </c>
      <c r="I24" s="2">
        <v>13860</v>
      </c>
      <c r="J24" s="2">
        <v>13860</v>
      </c>
      <c r="K24" s="2">
        <v>13860</v>
      </c>
      <c r="L24" s="9">
        <v>14671</v>
      </c>
    </row>
    <row r="25" spans="1:12" x14ac:dyDescent="0.25">
      <c r="A25" s="5">
        <v>55301</v>
      </c>
      <c r="B25" t="s">
        <v>62</v>
      </c>
      <c r="F25" s="2">
        <v>1200</v>
      </c>
      <c r="G25" s="2">
        <v>1200</v>
      </c>
      <c r="H25" s="2">
        <v>2600</v>
      </c>
      <c r="I25" s="2">
        <v>2600</v>
      </c>
      <c r="J25" s="2">
        <v>2600</v>
      </c>
      <c r="K25" s="2">
        <v>2600</v>
      </c>
      <c r="L25" s="9">
        <v>1868</v>
      </c>
    </row>
    <row r="26" spans="1:12" x14ac:dyDescent="0.25">
      <c r="A26" s="5">
        <v>55400</v>
      </c>
      <c r="B26" t="s">
        <v>88</v>
      </c>
      <c r="F26" s="2">
        <v>500</v>
      </c>
      <c r="G26" s="2">
        <v>500</v>
      </c>
      <c r="H26" s="2">
        <v>500</v>
      </c>
      <c r="I26" s="2">
        <v>500</v>
      </c>
      <c r="J26" s="2">
        <v>500</v>
      </c>
      <c r="K26" s="2">
        <v>500</v>
      </c>
      <c r="L26" s="9">
        <v>197</v>
      </c>
    </row>
    <row r="27" spans="1:12" x14ac:dyDescent="0.25">
      <c r="A27" s="5">
        <v>55460</v>
      </c>
      <c r="B27" t="s">
        <v>121</v>
      </c>
      <c r="F27" s="2">
        <v>5000</v>
      </c>
      <c r="G27" s="2">
        <v>5000</v>
      </c>
      <c r="H27" s="2">
        <v>5000</v>
      </c>
      <c r="I27" s="2">
        <v>5000</v>
      </c>
      <c r="J27" s="2">
        <v>5000</v>
      </c>
      <c r="K27" s="2">
        <v>5000</v>
      </c>
      <c r="L27" s="9">
        <v>2619</v>
      </c>
    </row>
    <row r="28" spans="1:12" x14ac:dyDescent="0.25">
      <c r="A28" s="5">
        <v>55500</v>
      </c>
      <c r="B28" t="s">
        <v>63</v>
      </c>
      <c r="F28" s="2">
        <v>500</v>
      </c>
      <c r="G28" s="9">
        <v>500</v>
      </c>
      <c r="H28" s="9">
        <v>500</v>
      </c>
      <c r="I28" s="9">
        <v>500</v>
      </c>
      <c r="J28" s="9">
        <v>500</v>
      </c>
      <c r="K28" s="9">
        <v>500</v>
      </c>
      <c r="L28" s="9">
        <v>0</v>
      </c>
    </row>
    <row r="29" spans="1:12" x14ac:dyDescent="0.25">
      <c r="A29" s="5">
        <v>55600</v>
      </c>
      <c r="B29" t="s">
        <v>65</v>
      </c>
      <c r="F29" s="2">
        <v>3500</v>
      </c>
      <c r="G29" s="2">
        <v>3500</v>
      </c>
      <c r="H29" s="2">
        <v>3500</v>
      </c>
      <c r="I29" s="2">
        <v>2500</v>
      </c>
      <c r="J29" s="2">
        <v>2560</v>
      </c>
      <c r="K29" s="2">
        <v>2560</v>
      </c>
      <c r="L29" s="9">
        <v>908</v>
      </c>
    </row>
    <row r="30" spans="1:12" x14ac:dyDescent="0.25">
      <c r="A30" s="5">
        <v>55710</v>
      </c>
      <c r="B30" t="s">
        <v>108</v>
      </c>
      <c r="F30" s="2">
        <v>3500</v>
      </c>
      <c r="G30" s="2">
        <v>3500</v>
      </c>
      <c r="H30" s="2">
        <v>3500</v>
      </c>
      <c r="I30" s="2">
        <v>3500</v>
      </c>
      <c r="J30" s="2">
        <v>3500</v>
      </c>
      <c r="K30" s="2">
        <v>3500</v>
      </c>
      <c r="L30" s="9">
        <v>2318</v>
      </c>
    </row>
    <row r="31" spans="1:12" x14ac:dyDescent="0.25">
      <c r="A31" s="5">
        <v>55720</v>
      </c>
      <c r="B31" t="s">
        <v>66</v>
      </c>
      <c r="F31" s="2">
        <v>3000</v>
      </c>
      <c r="G31" s="2">
        <v>3682</v>
      </c>
      <c r="H31" s="2">
        <v>3700</v>
      </c>
      <c r="I31" s="2">
        <v>3700</v>
      </c>
      <c r="J31" s="2">
        <v>3982</v>
      </c>
      <c r="K31" s="2">
        <v>3982</v>
      </c>
      <c r="L31" s="9">
        <v>2058</v>
      </c>
    </row>
    <row r="32" spans="1:12" x14ac:dyDescent="0.25">
      <c r="A32" s="5">
        <v>55830</v>
      </c>
      <c r="B32" t="s">
        <v>67</v>
      </c>
      <c r="F32" s="2">
        <v>500</v>
      </c>
      <c r="G32" s="2">
        <v>500</v>
      </c>
      <c r="H32" s="2">
        <v>500</v>
      </c>
      <c r="I32" s="2">
        <v>500</v>
      </c>
      <c r="J32" s="2">
        <v>500</v>
      </c>
      <c r="K32" s="2">
        <v>500</v>
      </c>
      <c r="L32" s="9">
        <v>0</v>
      </c>
    </row>
    <row r="33" spans="1:12" x14ac:dyDescent="0.25">
      <c r="A33" s="5">
        <v>55840</v>
      </c>
      <c r="B33" t="s">
        <v>68</v>
      </c>
      <c r="F33" s="2">
        <v>2000</v>
      </c>
      <c r="G33" s="2">
        <v>3202</v>
      </c>
      <c r="H33" s="2">
        <v>3200</v>
      </c>
      <c r="I33" s="2">
        <v>3200</v>
      </c>
      <c r="J33" s="2">
        <v>3202</v>
      </c>
      <c r="K33" s="2">
        <v>3202</v>
      </c>
      <c r="L33" s="9">
        <v>724</v>
      </c>
    </row>
    <row r="34" spans="1:12" x14ac:dyDescent="0.25">
      <c r="A34" s="5">
        <v>55850</v>
      </c>
      <c r="B34" t="s">
        <v>69</v>
      </c>
      <c r="F34" s="2">
        <v>1500</v>
      </c>
      <c r="G34" s="2">
        <v>1580</v>
      </c>
      <c r="H34" s="2">
        <v>1580</v>
      </c>
      <c r="I34" s="2">
        <v>1580</v>
      </c>
      <c r="J34" s="2">
        <v>1500</v>
      </c>
      <c r="K34" s="2">
        <v>1500</v>
      </c>
      <c r="L34" s="9">
        <v>0</v>
      </c>
    </row>
    <row r="35" spans="1:12" x14ac:dyDescent="0.25">
      <c r="A35" s="5">
        <v>55900</v>
      </c>
      <c r="B35" t="s">
        <v>70</v>
      </c>
      <c r="F35" s="2">
        <v>2500</v>
      </c>
      <c r="G35" s="2">
        <v>2500</v>
      </c>
      <c r="H35" s="2">
        <v>2500</v>
      </c>
      <c r="I35" s="2">
        <v>2500</v>
      </c>
      <c r="J35" s="2">
        <v>3000</v>
      </c>
      <c r="K35" s="2">
        <v>3000</v>
      </c>
      <c r="L35" s="9">
        <v>1764</v>
      </c>
    </row>
    <row r="36" spans="1:12" x14ac:dyDescent="0.25">
      <c r="A36" s="5">
        <v>56102</v>
      </c>
      <c r="B36" t="s">
        <v>96</v>
      </c>
      <c r="F36" s="2">
        <v>2400</v>
      </c>
      <c r="G36" s="2">
        <v>2400</v>
      </c>
      <c r="H36" s="2">
        <v>2400</v>
      </c>
      <c r="I36" s="2">
        <v>2400</v>
      </c>
      <c r="J36" s="2">
        <v>2400</v>
      </c>
      <c r="K36" s="2">
        <v>2400</v>
      </c>
      <c r="L36" s="9">
        <f>285+990</f>
        <v>1275</v>
      </c>
    </row>
    <row r="37" spans="1:12" x14ac:dyDescent="0.25">
      <c r="A37" s="5">
        <v>56105</v>
      </c>
      <c r="B37" t="s">
        <v>113</v>
      </c>
      <c r="F37" s="2">
        <v>30448</v>
      </c>
      <c r="G37" s="2">
        <v>30448</v>
      </c>
      <c r="H37" s="2">
        <v>30450</v>
      </c>
      <c r="I37" s="2">
        <v>30450</v>
      </c>
      <c r="J37" s="2">
        <v>30450</v>
      </c>
      <c r="K37" s="2">
        <v>30450</v>
      </c>
      <c r="L37" s="9">
        <v>24920</v>
      </c>
    </row>
    <row r="38" spans="1:12" x14ac:dyDescent="0.25">
      <c r="A38" s="5">
        <v>56110</v>
      </c>
      <c r="B38" t="s">
        <v>106</v>
      </c>
      <c r="F38" s="2">
        <v>250</v>
      </c>
      <c r="G38" s="9">
        <v>250</v>
      </c>
      <c r="H38" s="9">
        <v>250</v>
      </c>
      <c r="I38" s="9">
        <v>250</v>
      </c>
      <c r="J38" s="9">
        <v>0</v>
      </c>
      <c r="K38" s="9">
        <v>0</v>
      </c>
      <c r="L38" s="9">
        <v>0</v>
      </c>
    </row>
    <row r="39" spans="1:12" x14ac:dyDescent="0.25">
      <c r="A39" s="5">
        <v>56220</v>
      </c>
      <c r="B39" t="s">
        <v>97</v>
      </c>
      <c r="F39" s="2">
        <v>19000</v>
      </c>
      <c r="G39" s="2">
        <v>19000</v>
      </c>
      <c r="H39" s="2">
        <v>12000</v>
      </c>
      <c r="I39" s="2">
        <v>12000</v>
      </c>
      <c r="J39" s="2">
        <v>12000</v>
      </c>
      <c r="K39" s="2">
        <v>12000</v>
      </c>
      <c r="L39" s="9">
        <v>17128</v>
      </c>
    </row>
    <row r="40" spans="1:12" x14ac:dyDescent="0.25">
      <c r="A40" s="5">
        <v>56221</v>
      </c>
      <c r="B40" t="s">
        <v>98</v>
      </c>
      <c r="F40" s="2">
        <v>3000</v>
      </c>
      <c r="G40" s="2">
        <v>3000</v>
      </c>
      <c r="H40" s="2">
        <v>3000</v>
      </c>
      <c r="I40" s="2">
        <v>3000</v>
      </c>
      <c r="J40" s="2">
        <v>3000</v>
      </c>
      <c r="K40" s="2">
        <v>3000</v>
      </c>
      <c r="L40" s="9">
        <v>3970</v>
      </c>
    </row>
    <row r="41" spans="1:12" x14ac:dyDescent="0.25">
      <c r="A41" s="5">
        <v>56222</v>
      </c>
      <c r="B41" t="s">
        <v>99</v>
      </c>
      <c r="F41" s="2">
        <v>4600</v>
      </c>
      <c r="G41" s="2">
        <v>4600</v>
      </c>
      <c r="H41" s="2">
        <v>4600</v>
      </c>
      <c r="I41" s="2">
        <v>4600</v>
      </c>
      <c r="J41" s="2">
        <v>4600</v>
      </c>
      <c r="K41" s="2">
        <v>4600</v>
      </c>
      <c r="L41" s="9">
        <v>5630</v>
      </c>
    </row>
    <row r="42" spans="1:12" x14ac:dyDescent="0.25">
      <c r="A42" s="5">
        <v>56260</v>
      </c>
      <c r="B42" t="s">
        <v>100</v>
      </c>
      <c r="F42" s="2">
        <v>18000</v>
      </c>
      <c r="G42" s="2">
        <v>18000</v>
      </c>
      <c r="H42" s="2">
        <v>18000</v>
      </c>
      <c r="I42" s="2">
        <v>18000</v>
      </c>
      <c r="J42" s="2">
        <v>20400</v>
      </c>
      <c r="K42" s="2">
        <v>20400</v>
      </c>
      <c r="L42" s="9">
        <v>45553</v>
      </c>
    </row>
    <row r="43" spans="1:12" x14ac:dyDescent="0.25">
      <c r="A43" s="5">
        <v>57411</v>
      </c>
      <c r="B43" t="s">
        <v>129</v>
      </c>
      <c r="F43" s="2">
        <v>1600</v>
      </c>
      <c r="G43" s="2">
        <v>1600</v>
      </c>
      <c r="H43" s="2">
        <v>1600</v>
      </c>
      <c r="I43" s="2">
        <v>1600</v>
      </c>
      <c r="J43" s="2">
        <v>2000</v>
      </c>
      <c r="K43" s="2">
        <v>2000</v>
      </c>
      <c r="L43" s="9">
        <v>497</v>
      </c>
    </row>
    <row r="44" spans="1:12" ht="17.25" x14ac:dyDescent="0.4">
      <c r="A44" s="5">
        <v>58100</v>
      </c>
      <c r="B44" t="s">
        <v>78</v>
      </c>
      <c r="F44" s="4">
        <v>1000</v>
      </c>
      <c r="G44" s="4">
        <v>1000</v>
      </c>
      <c r="H44" s="4">
        <v>1000</v>
      </c>
      <c r="I44" s="4">
        <v>1000</v>
      </c>
      <c r="J44" s="4">
        <v>1000</v>
      </c>
      <c r="K44" s="4">
        <v>1000</v>
      </c>
      <c r="L44" s="10">
        <v>738</v>
      </c>
    </row>
    <row r="45" spans="1:12" x14ac:dyDescent="0.25">
      <c r="A45" s="5"/>
      <c r="F45" s="2"/>
      <c r="G45" s="2"/>
      <c r="H45" s="2"/>
      <c r="I45" s="2"/>
      <c r="J45" s="2"/>
      <c r="K45" s="2"/>
    </row>
    <row r="46" spans="1:12" ht="17.25" x14ac:dyDescent="0.4">
      <c r="A46" s="5"/>
      <c r="B46" s="1" t="s">
        <v>81</v>
      </c>
      <c r="F46" s="7">
        <f t="shared" ref="F46:L46" si="0">SUM(F7:F45)</f>
        <v>1822000</v>
      </c>
      <c r="G46" s="7">
        <f t="shared" si="0"/>
        <v>1938314</v>
      </c>
      <c r="H46" s="7">
        <f t="shared" si="0"/>
        <v>1917240</v>
      </c>
      <c r="I46" s="7">
        <f t="shared" si="0"/>
        <v>1939940</v>
      </c>
      <c r="J46" s="7">
        <f t="shared" si="0"/>
        <v>2070734</v>
      </c>
      <c r="K46" s="7">
        <f>SUM(K7:K45)</f>
        <v>2070734</v>
      </c>
      <c r="L46" s="7">
        <f t="shared" si="0"/>
        <v>1995251</v>
      </c>
    </row>
  </sheetData>
  <mergeCells count="1">
    <mergeCell ref="B6:D6"/>
  </mergeCells>
  <phoneticPr fontId="7" type="noConversion"/>
  <pageMargins left="0.25" right="0.25" top="0.75" bottom="0.75" header="0.3" footer="0.3"/>
  <pageSetup scale="7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D544-65E7-4141-8ADD-76AC0AB294EC}">
  <sheetPr>
    <pageSetUpPr fitToPage="1"/>
  </sheetPr>
  <dimension ref="A1:Q44"/>
  <sheetViews>
    <sheetView topLeftCell="A16" workbookViewId="0">
      <selection activeCell="K12" sqref="K12"/>
    </sheetView>
  </sheetViews>
  <sheetFormatPr defaultRowHeight="15" x14ac:dyDescent="0.25"/>
  <cols>
    <col min="4" max="4" width="3.28515625" customWidth="1"/>
    <col min="5" max="5" width="14.28515625" customWidth="1"/>
    <col min="6" max="6" width="14" customWidth="1"/>
    <col min="7" max="7" width="12.5703125" bestFit="1" customWidth="1"/>
    <col min="8" max="8" width="12.5703125" hidden="1" customWidth="1"/>
    <col min="9" max="11" width="12.5703125" customWidth="1"/>
    <col min="12" max="13" width="12.42578125" customWidth="1"/>
    <col min="14" max="15" width="3.140625" customWidth="1"/>
  </cols>
  <sheetData>
    <row r="1" spans="1:17" x14ac:dyDescent="0.25">
      <c r="A1" t="s">
        <v>204</v>
      </c>
    </row>
    <row r="2" spans="1:17" x14ac:dyDescent="0.25">
      <c r="A2" t="s">
        <v>196</v>
      </c>
    </row>
    <row r="4" spans="1:17" x14ac:dyDescent="0.25">
      <c r="H4" s="11" t="s">
        <v>170</v>
      </c>
      <c r="I4" s="11"/>
      <c r="J4" s="11"/>
      <c r="K4" s="11"/>
    </row>
    <row r="5" spans="1:17" x14ac:dyDescent="0.25">
      <c r="A5" s="1"/>
      <c r="B5" s="1"/>
      <c r="C5" s="1"/>
      <c r="D5" s="1"/>
      <c r="E5" s="11" t="s">
        <v>139</v>
      </c>
      <c r="F5" s="11" t="s">
        <v>137</v>
      </c>
      <c r="G5" s="11" t="s">
        <v>156</v>
      </c>
      <c r="H5" s="11" t="s">
        <v>156</v>
      </c>
      <c r="I5" s="11" t="s">
        <v>171</v>
      </c>
      <c r="J5" s="11" t="s">
        <v>186</v>
      </c>
      <c r="K5" s="11" t="s">
        <v>203</v>
      </c>
      <c r="L5" s="22">
        <v>45107</v>
      </c>
      <c r="M5" s="22">
        <v>45350</v>
      </c>
      <c r="O5" t="s">
        <v>172</v>
      </c>
    </row>
    <row r="6" spans="1:17" x14ac:dyDescent="0.25">
      <c r="A6" s="12" t="s">
        <v>46</v>
      </c>
      <c r="B6" s="33" t="s">
        <v>47</v>
      </c>
      <c r="C6" s="33"/>
      <c r="D6" s="33"/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138</v>
      </c>
      <c r="L6" s="12" t="s">
        <v>167</v>
      </c>
      <c r="M6" s="12" t="s">
        <v>167</v>
      </c>
      <c r="O6" t="s">
        <v>184</v>
      </c>
      <c r="Q6">
        <v>45000</v>
      </c>
    </row>
    <row r="7" spans="1:17" x14ac:dyDescent="0.25">
      <c r="A7" s="5">
        <v>51100</v>
      </c>
      <c r="B7" t="s">
        <v>53</v>
      </c>
      <c r="E7" s="2">
        <v>126630.39999999999</v>
      </c>
      <c r="F7" s="2">
        <v>106300</v>
      </c>
      <c r="G7" s="2">
        <v>141350</v>
      </c>
      <c r="H7" s="2">
        <v>136369.57999999999</v>
      </c>
      <c r="I7" s="2">
        <v>90000</v>
      </c>
      <c r="J7" s="2">
        <v>90000</v>
      </c>
      <c r="K7" s="2">
        <v>106500</v>
      </c>
      <c r="L7" s="2">
        <f>49584+153786</f>
        <v>203370</v>
      </c>
      <c r="M7" s="2">
        <f>19805+72560</f>
        <v>92365</v>
      </c>
      <c r="O7" t="s">
        <v>197</v>
      </c>
      <c r="Q7">
        <v>45000</v>
      </c>
    </row>
    <row r="8" spans="1:17" x14ac:dyDescent="0.25">
      <c r="A8" s="5">
        <v>51200</v>
      </c>
      <c r="B8" t="s">
        <v>123</v>
      </c>
      <c r="E8" s="2">
        <v>82826</v>
      </c>
      <c r="F8" s="2">
        <v>66000</v>
      </c>
      <c r="G8" s="2">
        <v>31050</v>
      </c>
      <c r="H8" s="2">
        <v>31050</v>
      </c>
      <c r="I8" s="2">
        <v>19500</v>
      </c>
      <c r="J8" s="2">
        <v>0</v>
      </c>
      <c r="K8" s="2">
        <v>0</v>
      </c>
      <c r="L8" s="2">
        <f>13190</f>
        <v>13190</v>
      </c>
      <c r="M8" s="2">
        <f>420</f>
        <v>420</v>
      </c>
    </row>
    <row r="9" spans="1:17" x14ac:dyDescent="0.25">
      <c r="A9" s="5">
        <v>52100</v>
      </c>
      <c r="B9" t="s">
        <v>54</v>
      </c>
      <c r="E9" s="9">
        <v>23600.880000000001</v>
      </c>
      <c r="F9" s="9">
        <v>23600</v>
      </c>
      <c r="G9" s="9">
        <v>24300</v>
      </c>
      <c r="H9" s="9">
        <v>31600</v>
      </c>
      <c r="I9" s="9">
        <v>28500</v>
      </c>
      <c r="J9" s="9">
        <v>8000</v>
      </c>
      <c r="K9" s="9">
        <v>8000</v>
      </c>
      <c r="L9" s="9">
        <f>25101-107</f>
        <v>24994</v>
      </c>
      <c r="M9" s="9">
        <v>13421</v>
      </c>
    </row>
    <row r="10" spans="1:17" x14ac:dyDescent="0.25">
      <c r="A10" s="5">
        <v>52200</v>
      </c>
      <c r="B10" t="s">
        <v>55</v>
      </c>
      <c r="E10" s="2">
        <v>15723.42</v>
      </c>
      <c r="F10" s="2">
        <v>13200</v>
      </c>
      <c r="G10" s="2">
        <v>10850</v>
      </c>
      <c r="H10" s="2">
        <v>10440</v>
      </c>
      <c r="I10" s="2">
        <v>8400</v>
      </c>
      <c r="J10" s="2">
        <v>6900</v>
      </c>
      <c r="K10" s="2">
        <v>7800</v>
      </c>
      <c r="L10" s="8">
        <f>5056+11376</f>
        <v>16432</v>
      </c>
      <c r="M10" s="8">
        <f>1155+4286</f>
        <v>5441</v>
      </c>
    </row>
    <row r="11" spans="1:17" x14ac:dyDescent="0.25">
      <c r="A11" s="5">
        <v>52300</v>
      </c>
      <c r="B11" t="s">
        <v>56</v>
      </c>
      <c r="E11" s="2">
        <v>19703.689999999999</v>
      </c>
      <c r="F11" s="2">
        <v>28550</v>
      </c>
      <c r="G11" s="2">
        <v>23450</v>
      </c>
      <c r="H11" s="2">
        <v>22500</v>
      </c>
      <c r="I11" s="2">
        <v>15800</v>
      </c>
      <c r="J11" s="2">
        <v>17000</v>
      </c>
      <c r="K11" s="2">
        <v>19700</v>
      </c>
      <c r="L11" s="8">
        <f>7285+11131</f>
        <v>18416</v>
      </c>
      <c r="M11" s="8">
        <f>1185+8225</f>
        <v>9410</v>
      </c>
    </row>
    <row r="12" spans="1:17" x14ac:dyDescent="0.25">
      <c r="A12" s="5">
        <v>52600</v>
      </c>
      <c r="B12" t="s">
        <v>57</v>
      </c>
      <c r="E12" s="2">
        <v>5278.93</v>
      </c>
      <c r="F12" s="9">
        <v>4480</v>
      </c>
      <c r="G12" s="9">
        <v>4480</v>
      </c>
      <c r="H12" s="9">
        <v>4480</v>
      </c>
      <c r="I12" s="9">
        <v>4480</v>
      </c>
      <c r="J12" s="9">
        <v>4000</v>
      </c>
      <c r="K12" s="9">
        <v>4000</v>
      </c>
      <c r="L12" s="8">
        <f>-6+5331+1798</f>
        <v>7123</v>
      </c>
      <c r="M12" s="8">
        <f>1802+1805</f>
        <v>3607</v>
      </c>
    </row>
    <row r="13" spans="1:17" x14ac:dyDescent="0.25">
      <c r="A13" s="5">
        <v>53500</v>
      </c>
      <c r="B13" t="s">
        <v>82</v>
      </c>
      <c r="E13" s="2">
        <v>2500</v>
      </c>
      <c r="F13" s="2">
        <v>1000</v>
      </c>
      <c r="G13" s="2">
        <v>1000</v>
      </c>
      <c r="H13" s="2">
        <v>1000</v>
      </c>
      <c r="I13" s="2">
        <v>1000</v>
      </c>
      <c r="J13" s="2">
        <v>800</v>
      </c>
      <c r="K13" s="2">
        <v>800</v>
      </c>
      <c r="L13" s="8">
        <v>1399</v>
      </c>
      <c r="M13" s="8">
        <v>0</v>
      </c>
    </row>
    <row r="14" spans="1:17" x14ac:dyDescent="0.25">
      <c r="A14" s="5">
        <v>53503</v>
      </c>
      <c r="B14" t="s">
        <v>124</v>
      </c>
      <c r="E14" s="2">
        <v>3000</v>
      </c>
      <c r="F14" s="2">
        <v>3000</v>
      </c>
      <c r="G14" s="2">
        <v>6000</v>
      </c>
      <c r="H14" s="2">
        <v>6000</v>
      </c>
      <c r="I14" s="2">
        <v>6000</v>
      </c>
      <c r="J14" s="2">
        <v>21000</v>
      </c>
      <c r="K14" s="2">
        <v>21000</v>
      </c>
      <c r="L14" s="2">
        <f>4000+1294</f>
        <v>5294</v>
      </c>
      <c r="M14" s="8">
        <v>0</v>
      </c>
    </row>
    <row r="15" spans="1:17" x14ac:dyDescent="0.25">
      <c r="A15" s="5">
        <v>54303</v>
      </c>
      <c r="B15" t="s">
        <v>85</v>
      </c>
      <c r="E15" s="2">
        <v>5000</v>
      </c>
      <c r="F15" s="2">
        <v>5000</v>
      </c>
      <c r="G15" s="2">
        <v>3000</v>
      </c>
      <c r="H15" s="2">
        <v>3000</v>
      </c>
      <c r="I15" s="2">
        <v>3000</v>
      </c>
      <c r="J15" s="2">
        <v>10000</v>
      </c>
      <c r="K15" s="2">
        <v>15000</v>
      </c>
      <c r="L15" s="8">
        <f>18638+30671</f>
        <v>49309</v>
      </c>
      <c r="M15" s="8">
        <f>81+295+9248</f>
        <v>9624</v>
      </c>
    </row>
    <row r="16" spans="1:17" x14ac:dyDescent="0.25">
      <c r="A16" s="5">
        <v>54304</v>
      </c>
      <c r="B16" t="s">
        <v>86</v>
      </c>
      <c r="E16" s="2">
        <v>2500</v>
      </c>
      <c r="F16" s="2">
        <v>1500</v>
      </c>
      <c r="G16" s="2">
        <v>1500</v>
      </c>
      <c r="H16" s="2">
        <v>1500</v>
      </c>
      <c r="I16" s="2">
        <v>1500</v>
      </c>
      <c r="J16" s="2">
        <v>1500</v>
      </c>
      <c r="K16" s="2">
        <v>1500</v>
      </c>
      <c r="L16" s="8">
        <f>2751</f>
        <v>2751</v>
      </c>
      <c r="M16" s="8">
        <v>0</v>
      </c>
    </row>
    <row r="17" spans="1:13" x14ac:dyDescent="0.25">
      <c r="A17" s="5">
        <v>54305</v>
      </c>
      <c r="B17" t="s">
        <v>59</v>
      </c>
      <c r="E17" s="2">
        <v>39.36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8">
        <v>0</v>
      </c>
      <c r="M17" s="8">
        <v>0</v>
      </c>
    </row>
    <row r="18" spans="1:13" x14ac:dyDescent="0.25">
      <c r="A18" s="5">
        <v>54307</v>
      </c>
      <c r="B18" t="s">
        <v>60</v>
      </c>
      <c r="E18" s="2">
        <v>1644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8">
        <v>0</v>
      </c>
      <c r="M18" s="8">
        <v>6619</v>
      </c>
    </row>
    <row r="19" spans="1:13" x14ac:dyDescent="0.25">
      <c r="A19" s="5">
        <v>55200</v>
      </c>
      <c r="B19" t="s">
        <v>61</v>
      </c>
      <c r="E19" s="2">
        <v>3663.37</v>
      </c>
      <c r="F19" s="9">
        <v>5500</v>
      </c>
      <c r="G19" s="9">
        <v>5500</v>
      </c>
      <c r="H19" s="9">
        <v>5500</v>
      </c>
      <c r="I19" s="9">
        <v>5500</v>
      </c>
      <c r="J19" s="9">
        <f>7300+66600</f>
        <v>73900</v>
      </c>
      <c r="K19" s="9">
        <f>7300+66600</f>
        <v>73900</v>
      </c>
      <c r="L19" s="8">
        <f>4962+48125</f>
        <v>53087</v>
      </c>
      <c r="M19" s="8">
        <v>3707</v>
      </c>
    </row>
    <row r="20" spans="1:13" x14ac:dyDescent="0.25">
      <c r="A20" s="5">
        <v>55300</v>
      </c>
      <c r="B20" t="s">
        <v>87</v>
      </c>
      <c r="E20" s="2">
        <v>3405</v>
      </c>
      <c r="F20" s="2">
        <v>4500</v>
      </c>
      <c r="G20" s="2">
        <v>4500</v>
      </c>
      <c r="H20" s="2">
        <v>4500</v>
      </c>
      <c r="I20" s="2">
        <v>4500</v>
      </c>
      <c r="J20" s="2">
        <v>3500</v>
      </c>
      <c r="K20" s="2">
        <v>3500</v>
      </c>
      <c r="L20" s="8">
        <f>3428+12883</f>
        <v>16311</v>
      </c>
      <c r="M20" s="8">
        <v>9571</v>
      </c>
    </row>
    <row r="21" spans="1:13" x14ac:dyDescent="0.25">
      <c r="A21" s="5">
        <v>55301</v>
      </c>
      <c r="B21" t="s">
        <v>62</v>
      </c>
      <c r="E21" s="2">
        <v>720</v>
      </c>
      <c r="F21" s="2">
        <v>720</v>
      </c>
      <c r="G21" s="2">
        <v>500</v>
      </c>
      <c r="H21" s="2">
        <v>500</v>
      </c>
      <c r="I21" s="2">
        <v>500</v>
      </c>
      <c r="J21" s="2">
        <v>500</v>
      </c>
      <c r="K21" s="2">
        <v>500</v>
      </c>
      <c r="L21" s="8">
        <f>936</f>
        <v>936</v>
      </c>
      <c r="M21" s="8">
        <v>0</v>
      </c>
    </row>
    <row r="22" spans="1:13" x14ac:dyDescent="0.25">
      <c r="A22" s="5">
        <v>55306</v>
      </c>
      <c r="B22" t="s">
        <v>125</v>
      </c>
      <c r="E22" s="2">
        <v>14400</v>
      </c>
      <c r="F22" s="2">
        <v>5000</v>
      </c>
      <c r="G22" s="2">
        <v>7600</v>
      </c>
      <c r="H22" s="2">
        <v>7600</v>
      </c>
      <c r="I22" s="2">
        <v>7600</v>
      </c>
      <c r="J22" s="2">
        <v>0</v>
      </c>
      <c r="K22" s="2">
        <v>0</v>
      </c>
      <c r="L22" s="8">
        <f>1027+1270</f>
        <v>2297</v>
      </c>
      <c r="M22" s="8">
        <v>2648</v>
      </c>
    </row>
    <row r="23" spans="1:13" x14ac:dyDescent="0.25">
      <c r="A23" s="5">
        <v>55400</v>
      </c>
      <c r="B23" t="s">
        <v>88</v>
      </c>
      <c r="E23" s="2">
        <v>500</v>
      </c>
      <c r="F23" s="2">
        <v>1500</v>
      </c>
      <c r="G23" s="2">
        <v>4000</v>
      </c>
      <c r="H23" s="2">
        <v>4000</v>
      </c>
      <c r="I23" s="2">
        <v>4000</v>
      </c>
      <c r="J23" s="2">
        <v>500</v>
      </c>
      <c r="K23" s="2">
        <v>500</v>
      </c>
      <c r="L23" s="8">
        <v>0</v>
      </c>
      <c r="M23" s="8">
        <v>784</v>
      </c>
    </row>
    <row r="24" spans="1:13" x14ac:dyDescent="0.25">
      <c r="A24" s="5">
        <v>55500</v>
      </c>
      <c r="B24" t="s">
        <v>63</v>
      </c>
      <c r="E24" s="2">
        <v>2230.56</v>
      </c>
      <c r="F24" s="9">
        <v>0</v>
      </c>
      <c r="G24" s="9">
        <v>0</v>
      </c>
      <c r="H24" s="9">
        <v>0</v>
      </c>
      <c r="I24" s="9"/>
      <c r="J24" s="9"/>
      <c r="K24" s="9"/>
      <c r="L24" s="8">
        <v>0</v>
      </c>
      <c r="M24" s="8">
        <v>0</v>
      </c>
    </row>
    <row r="25" spans="1:13" x14ac:dyDescent="0.25">
      <c r="A25" s="5">
        <v>55600</v>
      </c>
      <c r="B25" t="s">
        <v>65</v>
      </c>
      <c r="E25" s="2">
        <v>500</v>
      </c>
      <c r="F25" s="2">
        <v>500</v>
      </c>
      <c r="G25" s="2">
        <v>625</v>
      </c>
      <c r="H25" s="2">
        <v>625</v>
      </c>
      <c r="I25" s="2">
        <v>620</v>
      </c>
      <c r="J25" s="2">
        <v>800</v>
      </c>
      <c r="K25" s="2">
        <v>800</v>
      </c>
      <c r="L25" s="8">
        <f>675</f>
        <v>675</v>
      </c>
      <c r="M25" s="8">
        <v>0</v>
      </c>
    </row>
    <row r="26" spans="1:13" x14ac:dyDescent="0.25">
      <c r="A26" s="5">
        <v>55720</v>
      </c>
      <c r="B26" t="s">
        <v>66</v>
      </c>
      <c r="E26" s="2">
        <v>500</v>
      </c>
      <c r="F26" s="2">
        <v>500</v>
      </c>
      <c r="G26" s="2">
        <v>500</v>
      </c>
      <c r="H26" s="2">
        <v>500</v>
      </c>
      <c r="I26" s="2">
        <v>500</v>
      </c>
      <c r="J26" s="2">
        <v>0</v>
      </c>
      <c r="K26" s="2">
        <v>0</v>
      </c>
      <c r="L26" s="8">
        <f>1385+840</f>
        <v>2225</v>
      </c>
      <c r="M26" s="8">
        <v>0</v>
      </c>
    </row>
    <row r="27" spans="1:13" x14ac:dyDescent="0.25">
      <c r="A27" s="5">
        <v>55840</v>
      </c>
      <c r="B27" t="s">
        <v>68</v>
      </c>
      <c r="E27" s="2">
        <v>1000</v>
      </c>
      <c r="F27" s="2">
        <v>1000</v>
      </c>
      <c r="G27" s="2">
        <v>500</v>
      </c>
      <c r="H27" s="2">
        <v>500</v>
      </c>
      <c r="I27" s="2">
        <v>500</v>
      </c>
      <c r="J27" s="2">
        <v>0</v>
      </c>
      <c r="K27" s="2">
        <v>0</v>
      </c>
      <c r="L27" s="8">
        <f>574+533</f>
        <v>1107</v>
      </c>
      <c r="M27" s="8">
        <v>0</v>
      </c>
    </row>
    <row r="28" spans="1:13" x14ac:dyDescent="0.25">
      <c r="A28" s="5">
        <v>55850</v>
      </c>
      <c r="B28" t="s">
        <v>69</v>
      </c>
      <c r="E28" s="2">
        <v>250</v>
      </c>
      <c r="F28" s="2">
        <v>250</v>
      </c>
      <c r="G28" s="2">
        <v>250</v>
      </c>
      <c r="H28" s="2">
        <v>250</v>
      </c>
      <c r="I28" s="2">
        <v>250</v>
      </c>
      <c r="J28" s="2">
        <v>0</v>
      </c>
      <c r="K28" s="2">
        <v>0</v>
      </c>
      <c r="L28" s="8">
        <v>0</v>
      </c>
      <c r="M28" s="8">
        <v>0</v>
      </c>
    </row>
    <row r="29" spans="1:13" x14ac:dyDescent="0.25">
      <c r="A29" s="5">
        <v>55900</v>
      </c>
      <c r="B29" t="s">
        <v>70</v>
      </c>
      <c r="E29" s="2">
        <v>500</v>
      </c>
      <c r="F29" s="2">
        <v>500</v>
      </c>
      <c r="G29" s="2">
        <v>500</v>
      </c>
      <c r="H29" s="2">
        <v>500</v>
      </c>
      <c r="I29" s="2">
        <v>500</v>
      </c>
      <c r="J29" s="2">
        <v>500</v>
      </c>
      <c r="K29" s="2">
        <v>500</v>
      </c>
      <c r="L29" s="8">
        <f>535+279+671</f>
        <v>1485</v>
      </c>
      <c r="M29" s="8">
        <v>1091</v>
      </c>
    </row>
    <row r="30" spans="1:13" x14ac:dyDescent="0.25">
      <c r="A30" s="5">
        <v>56100</v>
      </c>
      <c r="B30" t="s">
        <v>95</v>
      </c>
      <c r="E30" s="2">
        <v>500</v>
      </c>
      <c r="F30" s="2">
        <v>500</v>
      </c>
      <c r="G30" s="2">
        <v>500</v>
      </c>
      <c r="H30" s="2">
        <v>500</v>
      </c>
      <c r="I30" s="2">
        <v>500</v>
      </c>
      <c r="J30" s="2">
        <v>500</v>
      </c>
      <c r="K30" s="2">
        <v>500</v>
      </c>
      <c r="L30" s="8">
        <f>10981+7892</f>
        <v>18873</v>
      </c>
      <c r="M30" s="8">
        <f>135+5953</f>
        <v>6088</v>
      </c>
    </row>
    <row r="31" spans="1:13" x14ac:dyDescent="0.25">
      <c r="A31" s="5">
        <v>56102</v>
      </c>
      <c r="B31" t="s">
        <v>96</v>
      </c>
      <c r="E31" s="2">
        <v>1500</v>
      </c>
      <c r="F31" s="2">
        <v>1750</v>
      </c>
      <c r="G31" s="2">
        <v>350</v>
      </c>
      <c r="H31" s="2">
        <v>350</v>
      </c>
      <c r="I31" s="2">
        <v>350</v>
      </c>
      <c r="J31" s="2">
        <v>800</v>
      </c>
      <c r="K31" s="2">
        <v>800</v>
      </c>
      <c r="L31" s="8">
        <f>495</f>
        <v>495</v>
      </c>
      <c r="M31" s="8">
        <v>0</v>
      </c>
    </row>
    <row r="32" spans="1:13" x14ac:dyDescent="0.25">
      <c r="A32" s="5">
        <v>56105</v>
      </c>
      <c r="B32" t="s">
        <v>113</v>
      </c>
      <c r="E32" s="2">
        <v>250</v>
      </c>
      <c r="F32" s="2">
        <v>250</v>
      </c>
      <c r="G32" s="2">
        <v>250</v>
      </c>
      <c r="H32" s="2">
        <v>250</v>
      </c>
      <c r="I32" s="2">
        <v>250</v>
      </c>
      <c r="J32" s="2">
        <v>0</v>
      </c>
      <c r="K32" s="2">
        <v>0</v>
      </c>
      <c r="L32" s="8">
        <f>1585+1932</f>
        <v>3517</v>
      </c>
      <c r="M32" s="8">
        <v>19064</v>
      </c>
    </row>
    <row r="33" spans="1:16" x14ac:dyDescent="0.25">
      <c r="A33" s="5">
        <v>56110</v>
      </c>
      <c r="B33" t="s">
        <v>106</v>
      </c>
      <c r="E33" s="2">
        <v>100</v>
      </c>
      <c r="F33" s="9">
        <v>50</v>
      </c>
      <c r="G33" s="9">
        <v>50</v>
      </c>
      <c r="H33" s="9">
        <v>50</v>
      </c>
      <c r="I33" s="9">
        <v>50</v>
      </c>
      <c r="J33" s="9">
        <v>0</v>
      </c>
      <c r="K33" s="9">
        <v>0</v>
      </c>
      <c r="L33" s="8">
        <f>174</f>
        <v>174</v>
      </c>
      <c r="M33" s="8">
        <v>0</v>
      </c>
    </row>
    <row r="34" spans="1:16" x14ac:dyDescent="0.25">
      <c r="A34" s="5">
        <v>56220</v>
      </c>
      <c r="B34" t="s">
        <v>97</v>
      </c>
      <c r="E34" s="2">
        <v>18000</v>
      </c>
      <c r="F34" s="2">
        <v>18000</v>
      </c>
      <c r="G34" s="2">
        <v>18000</v>
      </c>
      <c r="H34" s="2">
        <v>18000</v>
      </c>
      <c r="I34" s="2">
        <v>18000</v>
      </c>
      <c r="J34" s="2">
        <v>48000</v>
      </c>
      <c r="K34" s="2">
        <v>48000</v>
      </c>
      <c r="L34" s="8">
        <f>12617+24290</f>
        <v>36907</v>
      </c>
      <c r="M34" s="8">
        <v>28360</v>
      </c>
    </row>
    <row r="35" spans="1:16" x14ac:dyDescent="0.25">
      <c r="A35" s="5">
        <v>56221</v>
      </c>
      <c r="B35" t="s">
        <v>98</v>
      </c>
      <c r="E35" s="2">
        <v>4000</v>
      </c>
      <c r="F35" s="2">
        <v>4000</v>
      </c>
      <c r="G35" s="2">
        <v>4000</v>
      </c>
      <c r="H35" s="2">
        <v>4000</v>
      </c>
      <c r="I35" s="2">
        <v>4000</v>
      </c>
      <c r="J35" s="2">
        <v>60000</v>
      </c>
      <c r="K35" s="2">
        <v>60000</v>
      </c>
      <c r="L35" s="8">
        <f>2401+26453</f>
        <v>28854</v>
      </c>
      <c r="M35" s="8">
        <v>15650</v>
      </c>
    </row>
    <row r="36" spans="1:16" x14ac:dyDescent="0.25">
      <c r="A36" s="5">
        <v>56222</v>
      </c>
      <c r="B36" t="s">
        <v>99</v>
      </c>
      <c r="E36" s="2">
        <v>14000</v>
      </c>
      <c r="F36" s="2">
        <v>20000</v>
      </c>
      <c r="G36" s="2">
        <v>20000</v>
      </c>
      <c r="H36" s="2">
        <v>20000</v>
      </c>
      <c r="I36" s="2">
        <v>35000</v>
      </c>
      <c r="J36" s="2">
        <v>30000</v>
      </c>
      <c r="K36" s="2">
        <v>30000</v>
      </c>
      <c r="L36" s="8">
        <f>7117+3617</f>
        <v>10734</v>
      </c>
      <c r="M36" s="8">
        <v>4972</v>
      </c>
    </row>
    <row r="37" spans="1:16" x14ac:dyDescent="0.25">
      <c r="A37" s="5">
        <v>56260</v>
      </c>
      <c r="B37" t="s">
        <v>100</v>
      </c>
      <c r="E37" s="2">
        <v>3000</v>
      </c>
      <c r="F37" s="2">
        <v>3500</v>
      </c>
      <c r="G37" s="2">
        <v>3500</v>
      </c>
      <c r="H37" s="2">
        <v>3500</v>
      </c>
      <c r="I37" s="2">
        <v>5540</v>
      </c>
      <c r="J37" s="2">
        <v>3500</v>
      </c>
      <c r="K37" s="2">
        <v>3500</v>
      </c>
      <c r="L37" s="8">
        <f>9268</f>
        <v>9268</v>
      </c>
      <c r="M37" s="8">
        <v>0</v>
      </c>
    </row>
    <row r="38" spans="1:16" x14ac:dyDescent="0.25">
      <c r="A38" s="5">
        <v>56500</v>
      </c>
      <c r="B38" t="s">
        <v>71</v>
      </c>
      <c r="E38" s="2">
        <v>0</v>
      </c>
      <c r="F38" s="2">
        <v>60</v>
      </c>
      <c r="G38" s="2">
        <v>60</v>
      </c>
      <c r="H38" s="2">
        <v>60</v>
      </c>
      <c r="I38" s="2">
        <v>60</v>
      </c>
      <c r="J38" s="2">
        <v>0</v>
      </c>
      <c r="K38" s="2">
        <v>0</v>
      </c>
      <c r="L38" s="8">
        <f>266+35</f>
        <v>301</v>
      </c>
      <c r="M38" s="8">
        <v>7469</v>
      </c>
    </row>
    <row r="39" spans="1:16" x14ac:dyDescent="0.25">
      <c r="A39" s="5">
        <v>58016</v>
      </c>
      <c r="B39" t="s">
        <v>126</v>
      </c>
      <c r="E39" s="2">
        <v>6591.37</v>
      </c>
      <c r="F39" s="2">
        <v>5000</v>
      </c>
      <c r="G39" s="2">
        <v>7000</v>
      </c>
      <c r="H39" s="2">
        <v>7000</v>
      </c>
      <c r="I39" s="2">
        <v>7000</v>
      </c>
      <c r="J39" s="2">
        <v>0</v>
      </c>
      <c r="K39" s="2">
        <v>0</v>
      </c>
      <c r="L39" s="8">
        <f>3850</f>
        <v>3850</v>
      </c>
      <c r="M39" s="8">
        <v>0</v>
      </c>
    </row>
    <row r="40" spans="1:16" x14ac:dyDescent="0.25">
      <c r="A40" s="5">
        <v>58100</v>
      </c>
      <c r="B40" t="s">
        <v>78</v>
      </c>
      <c r="E40" s="2">
        <v>7800</v>
      </c>
      <c r="F40" s="2">
        <v>6000</v>
      </c>
      <c r="G40" s="2">
        <v>7600</v>
      </c>
      <c r="H40" s="2">
        <v>7600</v>
      </c>
      <c r="I40" s="2">
        <v>7600</v>
      </c>
      <c r="J40" s="2">
        <v>4500</v>
      </c>
      <c r="K40" s="2">
        <v>4500</v>
      </c>
      <c r="L40" s="8">
        <f>3622+3850</f>
        <v>7472</v>
      </c>
      <c r="M40" s="8">
        <v>615</v>
      </c>
    </row>
    <row r="41" spans="1:16" x14ac:dyDescent="0.25">
      <c r="A41" s="5">
        <v>58200</v>
      </c>
      <c r="B41" t="s">
        <v>41</v>
      </c>
      <c r="E41" s="2">
        <v>5000</v>
      </c>
      <c r="F41" s="2">
        <v>10500</v>
      </c>
      <c r="G41" s="2">
        <v>7500</v>
      </c>
      <c r="H41" s="2">
        <v>7500</v>
      </c>
      <c r="I41" s="2">
        <v>19000</v>
      </c>
      <c r="J41" s="2">
        <v>4500</v>
      </c>
      <c r="K41" s="2">
        <v>4500</v>
      </c>
      <c r="L41" s="8">
        <f>44503+3111</f>
        <v>47614</v>
      </c>
      <c r="M41" s="8">
        <f>45284+15281</f>
        <v>60565</v>
      </c>
    </row>
    <row r="42" spans="1:16" ht="17.25" x14ac:dyDescent="0.4">
      <c r="A42" s="5">
        <v>59300</v>
      </c>
      <c r="B42" t="s">
        <v>132</v>
      </c>
      <c r="E42" s="4">
        <v>0</v>
      </c>
      <c r="F42" s="10">
        <v>75000</v>
      </c>
      <c r="G42" s="10">
        <v>14000</v>
      </c>
      <c r="H42" s="10">
        <v>14000</v>
      </c>
      <c r="I42" s="10">
        <v>0</v>
      </c>
      <c r="J42" s="10">
        <v>0</v>
      </c>
      <c r="K42" s="10">
        <v>0</v>
      </c>
      <c r="L42" s="10">
        <v>532</v>
      </c>
      <c r="M42" s="10">
        <v>250100</v>
      </c>
    </row>
    <row r="43" spans="1:16" x14ac:dyDescent="0.25">
      <c r="A43" s="5"/>
      <c r="E43" s="2"/>
      <c r="F43" s="2"/>
      <c r="G43" s="2"/>
      <c r="H43" s="2"/>
      <c r="I43" s="2"/>
      <c r="J43" s="2"/>
      <c r="K43" s="2"/>
      <c r="L43" s="2"/>
      <c r="M43" s="2"/>
    </row>
    <row r="44" spans="1:16" ht="17.25" x14ac:dyDescent="0.4">
      <c r="A44" s="5"/>
      <c r="B44" s="1" t="s">
        <v>81</v>
      </c>
      <c r="E44" s="13">
        <f t="shared" ref="E44:M44" si="0">SUM(E7:E43)</f>
        <v>376856.98</v>
      </c>
      <c r="F44" s="7">
        <f t="shared" si="0"/>
        <v>417210</v>
      </c>
      <c r="G44" s="7">
        <f t="shared" si="0"/>
        <v>354265</v>
      </c>
      <c r="H44" s="7">
        <f t="shared" si="0"/>
        <v>355224.57999999996</v>
      </c>
      <c r="I44" s="7">
        <f t="shared" si="0"/>
        <v>300000</v>
      </c>
      <c r="J44" s="7">
        <f t="shared" si="0"/>
        <v>390700</v>
      </c>
      <c r="K44" s="7">
        <f t="shared" si="0"/>
        <v>415800</v>
      </c>
      <c r="L44" s="7">
        <f t="shared" si="0"/>
        <v>588992</v>
      </c>
      <c r="M44" s="7">
        <f t="shared" si="0"/>
        <v>551591</v>
      </c>
      <c r="P44" s="27">
        <f>M44/J44</f>
        <v>1.411801894036345</v>
      </c>
    </row>
  </sheetData>
  <mergeCells count="1">
    <mergeCell ref="B6:D6"/>
  </mergeCells>
  <phoneticPr fontId="7" type="noConversion"/>
  <pageMargins left="0.25" right="0.25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Revenue</vt:lpstr>
      <vt:lpstr>Council</vt:lpstr>
      <vt:lpstr>Admin</vt:lpstr>
      <vt:lpstr>Finance</vt:lpstr>
      <vt:lpstr>HR</vt:lpstr>
      <vt:lpstr>Public Works</vt:lpstr>
      <vt:lpstr>Police</vt:lpstr>
      <vt:lpstr>Fire</vt:lpstr>
      <vt:lpstr>Rec &amp; Aquatic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Wood</dc:creator>
  <cp:lastModifiedBy>Malik Whitaker</cp:lastModifiedBy>
  <cp:lastPrinted>2024-04-12T14:12:29Z</cp:lastPrinted>
  <dcterms:created xsi:type="dcterms:W3CDTF">2020-03-19T14:09:54Z</dcterms:created>
  <dcterms:modified xsi:type="dcterms:W3CDTF">2025-03-31T15:08:11Z</dcterms:modified>
</cp:coreProperties>
</file>