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tte\AppData\Local\Microsoft\Windows\INetCache\Content.Outlook\PXD3R9NQ\"/>
    </mc:Choice>
  </mc:AlternateContent>
  <xr:revisionPtr revIDLastSave="0" documentId="13_ncr:1_{93C0A016-E5BD-46ED-97E9-92D6E1457C17}" xr6:coauthVersionLast="47" xr6:coauthVersionMax="47" xr10:uidLastSave="{00000000-0000-0000-0000-000000000000}"/>
  <bookViews>
    <workbookView xWindow="-120" yWindow="-120" windowWidth="29040" windowHeight="15840" xr2:uid="{63618F0F-074E-4201-B63B-179CF8F0CE30}"/>
  </bookViews>
  <sheets>
    <sheet name="Sheet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" l="1"/>
  <c r="V31" i="1"/>
  <c r="V30" i="1"/>
  <c r="V41" i="1"/>
  <c r="V40" i="1"/>
  <c r="V39" i="1"/>
  <c r="W39" i="1" s="1"/>
  <c r="V36" i="1"/>
  <c r="V24" i="1"/>
  <c r="V21" i="1"/>
  <c r="V19" i="1"/>
  <c r="V17" i="1"/>
  <c r="V8" i="1"/>
  <c r="U41" i="1"/>
  <c r="U40" i="1"/>
  <c r="U39" i="1"/>
  <c r="U38" i="1"/>
  <c r="W38" i="1" s="1"/>
  <c r="U36" i="1"/>
  <c r="U31" i="1"/>
  <c r="U30" i="1"/>
  <c r="U27" i="1"/>
  <c r="U26" i="1"/>
  <c r="U25" i="1"/>
  <c r="U24" i="1"/>
  <c r="U9" i="1"/>
  <c r="U8" i="1"/>
  <c r="T31" i="1"/>
  <c r="T30" i="1"/>
  <c r="T25" i="1"/>
  <c r="T24" i="1"/>
  <c r="R41" i="1"/>
  <c r="R40" i="1"/>
  <c r="R39" i="1"/>
  <c r="R36" i="1"/>
  <c r="R31" i="1"/>
  <c r="R30" i="1"/>
  <c r="R24" i="1"/>
  <c r="R25" i="1" s="1"/>
  <c r="R19" i="1"/>
  <c r="P27" i="1"/>
  <c r="H39" i="1"/>
  <c r="H19" i="1"/>
  <c r="O35" i="1"/>
  <c r="O13" i="1"/>
  <c r="O8" i="1"/>
  <c r="N33" i="1"/>
  <c r="N8" i="1"/>
  <c r="M41" i="1"/>
  <c r="M36" i="1"/>
  <c r="M34" i="1"/>
  <c r="M33" i="1"/>
  <c r="M24" i="1"/>
  <c r="M25" i="1" s="1"/>
  <c r="M10" i="1"/>
  <c r="L22" i="1"/>
  <c r="L7" i="1"/>
  <c r="W40" i="1" l="1"/>
  <c r="W31" i="1"/>
  <c r="W24" i="1"/>
  <c r="W41" i="1"/>
  <c r="W30" i="1"/>
  <c r="W36" i="1"/>
  <c r="K39" i="1"/>
  <c r="K8" i="1"/>
  <c r="J21" i="1"/>
  <c r="J8" i="1"/>
  <c r="J12" i="1" s="1"/>
  <c r="J14" i="1" s="1"/>
  <c r="I34" i="1"/>
  <c r="I8" i="1"/>
  <c r="I12" i="1" s="1"/>
  <c r="I14" i="1" s="1"/>
  <c r="G33" i="1"/>
  <c r="G8" i="1"/>
  <c r="G12" i="1" s="1"/>
  <c r="G14" i="1" s="1"/>
  <c r="F31" i="1"/>
  <c r="F30" i="1"/>
  <c r="F8" i="1"/>
  <c r="F12" i="1" s="1"/>
  <c r="F14" i="1" s="1"/>
  <c r="E45" i="1"/>
  <c r="E47" i="1" s="1"/>
  <c r="E50" i="1"/>
  <c r="P50" i="1" s="1"/>
  <c r="Y50" i="1" s="1"/>
  <c r="AA50" i="1" s="1"/>
  <c r="E41" i="1"/>
  <c r="E40" i="1"/>
  <c r="P40" i="1" s="1"/>
  <c r="E39" i="1"/>
  <c r="E36" i="1"/>
  <c r="E35" i="1"/>
  <c r="E34" i="1"/>
  <c r="P34" i="1" s="1"/>
  <c r="Y34" i="1" s="1"/>
  <c r="AA34" i="1" s="1"/>
  <c r="E33" i="1"/>
  <c r="P33" i="1" s="1"/>
  <c r="Y33" i="1" s="1"/>
  <c r="AA33" i="1" s="1"/>
  <c r="E32" i="1"/>
  <c r="P32" i="1" s="1"/>
  <c r="E31" i="1"/>
  <c r="E30" i="1"/>
  <c r="E28" i="1"/>
  <c r="P28" i="1" s="1"/>
  <c r="Y28" i="1" s="1"/>
  <c r="AA28" i="1" s="1"/>
  <c r="E27" i="1"/>
  <c r="E26" i="1"/>
  <c r="E24" i="1"/>
  <c r="E21" i="1"/>
  <c r="P21" i="1" s="1"/>
  <c r="E18" i="1"/>
  <c r="Y18" i="1" s="1"/>
  <c r="AA18" i="1" s="1"/>
  <c r="E17" i="1"/>
  <c r="E16" i="1"/>
  <c r="E11" i="1"/>
  <c r="P11" i="1" s="1"/>
  <c r="Y11" i="1" s="1"/>
  <c r="AA11" i="1" s="1"/>
  <c r="E9" i="1"/>
  <c r="P9" i="1" s="1"/>
  <c r="C41" i="1"/>
  <c r="C39" i="1"/>
  <c r="C38" i="1"/>
  <c r="C37" i="1"/>
  <c r="C26" i="1"/>
  <c r="C24" i="1"/>
  <c r="C23" i="1"/>
  <c r="C25" i="1" s="1"/>
  <c r="C19" i="1"/>
  <c r="C17" i="1"/>
  <c r="C13" i="1"/>
  <c r="C9" i="1"/>
  <c r="C8" i="1"/>
  <c r="B41" i="1"/>
  <c r="B38" i="1"/>
  <c r="B37" i="1"/>
  <c r="B36" i="1"/>
  <c r="B31" i="1"/>
  <c r="B30" i="1"/>
  <c r="B27" i="1"/>
  <c r="Y27" i="1" s="1"/>
  <c r="AA27" i="1" s="1"/>
  <c r="B24" i="1"/>
  <c r="B23" i="1"/>
  <c r="B8" i="1"/>
  <c r="B12" i="1" s="1"/>
  <c r="B14" i="1" s="1"/>
  <c r="P46" i="1"/>
  <c r="Y46" i="1" s="1"/>
  <c r="P41" i="1"/>
  <c r="B39" i="1"/>
  <c r="T36" i="1"/>
  <c r="P36" i="1"/>
  <c r="O36" i="1"/>
  <c r="N36" i="1"/>
  <c r="L36" i="1"/>
  <c r="K36" i="1"/>
  <c r="J36" i="1"/>
  <c r="I36" i="1"/>
  <c r="H36" i="1"/>
  <c r="G36" i="1"/>
  <c r="F36" i="1"/>
  <c r="V32" i="1"/>
  <c r="W32" i="1" s="1"/>
  <c r="V29" i="1"/>
  <c r="R29" i="1"/>
  <c r="V27" i="1"/>
  <c r="W27" i="1" s="1"/>
  <c r="T27" i="1"/>
  <c r="R27" i="1"/>
  <c r="O27" i="1"/>
  <c r="N27" i="1"/>
  <c r="M27" i="1"/>
  <c r="L27" i="1"/>
  <c r="K27" i="1"/>
  <c r="J27" i="1"/>
  <c r="I27" i="1"/>
  <c r="H27" i="1"/>
  <c r="G27" i="1"/>
  <c r="F27" i="1"/>
  <c r="C27" i="1"/>
  <c r="V26" i="1"/>
  <c r="W26" i="1" s="1"/>
  <c r="T26" i="1"/>
  <c r="R26" i="1"/>
  <c r="P26" i="1"/>
  <c r="O26" i="1"/>
  <c r="N26" i="1"/>
  <c r="M26" i="1"/>
  <c r="M42" i="1" s="1"/>
  <c r="L26" i="1"/>
  <c r="K26" i="1"/>
  <c r="K42" i="1" s="1"/>
  <c r="J26" i="1"/>
  <c r="I26" i="1"/>
  <c r="H26" i="1"/>
  <c r="G26" i="1"/>
  <c r="F26" i="1"/>
  <c r="B26" i="1"/>
  <c r="V25" i="1"/>
  <c r="W25" i="1" s="1"/>
  <c r="U42" i="1"/>
  <c r="E25" i="1"/>
  <c r="P25" i="1" s="1"/>
  <c r="P23" i="1"/>
  <c r="P22" i="1"/>
  <c r="Y22" i="1" s="1"/>
  <c r="W21" i="1"/>
  <c r="Y20" i="1"/>
  <c r="P20" i="1"/>
  <c r="W19" i="1"/>
  <c r="P19" i="1"/>
  <c r="W17" i="1"/>
  <c r="P17" i="1"/>
  <c r="Y16" i="1"/>
  <c r="AA16" i="1" s="1"/>
  <c r="P13" i="1"/>
  <c r="T12" i="1"/>
  <c r="T14" i="1" s="1"/>
  <c r="R12" i="1"/>
  <c r="R14" i="1" s="1"/>
  <c r="K12" i="1"/>
  <c r="K14" i="1" s="1"/>
  <c r="H12" i="1"/>
  <c r="H14" i="1" s="1"/>
  <c r="W11" i="1"/>
  <c r="W10" i="1"/>
  <c r="M12" i="1"/>
  <c r="M14" i="1" s="1"/>
  <c r="W9" i="1"/>
  <c r="W8" i="1"/>
  <c r="O12" i="1"/>
  <c r="O14" i="1" s="1"/>
  <c r="N12" i="1"/>
  <c r="N14" i="1" s="1"/>
  <c r="V7" i="1"/>
  <c r="V12" i="1" s="1"/>
  <c r="V14" i="1" s="1"/>
  <c r="U7" i="1"/>
  <c r="W7" i="1" s="1"/>
  <c r="P7" i="1"/>
  <c r="P18" i="1" l="1"/>
  <c r="Y26" i="1"/>
  <c r="AA26" i="1" s="1"/>
  <c r="C12" i="1"/>
  <c r="C14" i="1" s="1"/>
  <c r="P39" i="1"/>
  <c r="B42" i="1"/>
  <c r="R42" i="1"/>
  <c r="R43" i="1" s="1"/>
  <c r="R49" i="1" s="1"/>
  <c r="R51" i="1" s="1"/>
  <c r="Y13" i="1"/>
  <c r="AA13" i="1" s="1"/>
  <c r="E12" i="1"/>
  <c r="E14" i="1" s="1"/>
  <c r="I42" i="1"/>
  <c r="F42" i="1"/>
  <c r="F43" i="1" s="1"/>
  <c r="F49" i="1" s="1"/>
  <c r="F51" i="1" s="1"/>
  <c r="N42" i="1"/>
  <c r="N43" i="1" s="1"/>
  <c r="N49" i="1" s="1"/>
  <c r="N51" i="1" s="1"/>
  <c r="W29" i="1"/>
  <c r="W42" i="1" s="1"/>
  <c r="Y19" i="1"/>
  <c r="AA19" i="1" s="1"/>
  <c r="G42" i="1"/>
  <c r="O42" i="1"/>
  <c r="O43" i="1" s="1"/>
  <c r="O49" i="1" s="1"/>
  <c r="O51" i="1" s="1"/>
  <c r="H42" i="1"/>
  <c r="H43" i="1" s="1"/>
  <c r="H49" i="1" s="1"/>
  <c r="H51" i="1" s="1"/>
  <c r="L42" i="1"/>
  <c r="Y37" i="1"/>
  <c r="AA37" i="1" s="1"/>
  <c r="Y32" i="1"/>
  <c r="AA32" i="1" s="1"/>
  <c r="Y40" i="1"/>
  <c r="AA40" i="1" s="1"/>
  <c r="Y39" i="1"/>
  <c r="AA39" i="1" s="1"/>
  <c r="W12" i="1"/>
  <c r="W14" i="1" s="1"/>
  <c r="Y41" i="1"/>
  <c r="AA41" i="1" s="1"/>
  <c r="P35" i="1"/>
  <c r="Y35" i="1" s="1"/>
  <c r="AA35" i="1" s="1"/>
  <c r="Y21" i="1"/>
  <c r="AA21" i="1" s="1"/>
  <c r="B43" i="1"/>
  <c r="B49" i="1" s="1"/>
  <c r="B51" i="1" s="1"/>
  <c r="Y7" i="1"/>
  <c r="AA7" i="1" s="1"/>
  <c r="E48" i="1"/>
  <c r="P47" i="1"/>
  <c r="P48" i="1" s="1"/>
  <c r="K43" i="1"/>
  <c r="K49" i="1" s="1"/>
  <c r="K51" i="1" s="1"/>
  <c r="I43" i="1"/>
  <c r="I49" i="1" s="1"/>
  <c r="I51" i="1" s="1"/>
  <c r="Y9" i="1"/>
  <c r="AA9" i="1" s="1"/>
  <c r="M43" i="1"/>
  <c r="M49" i="1" s="1"/>
  <c r="M51" i="1" s="1"/>
  <c r="G43" i="1"/>
  <c r="G49" i="1" s="1"/>
  <c r="G51" i="1" s="1"/>
  <c r="Y38" i="1"/>
  <c r="AA38" i="1" s="1"/>
  <c r="Y17" i="1"/>
  <c r="AA17" i="1" s="1"/>
  <c r="V42" i="1"/>
  <c r="V43" i="1" s="1"/>
  <c r="P8" i="1"/>
  <c r="Y8" i="1" s="1"/>
  <c r="AA8" i="1" s="1"/>
  <c r="P10" i="1"/>
  <c r="Y10" i="1" s="1"/>
  <c r="AA10" i="1" s="1"/>
  <c r="L12" i="1"/>
  <c r="L14" i="1" s="1"/>
  <c r="P16" i="1"/>
  <c r="Y23" i="1"/>
  <c r="AA23" i="1" s="1"/>
  <c r="B25" i="1"/>
  <c r="Y25" i="1" s="1"/>
  <c r="AA25" i="1" s="1"/>
  <c r="E42" i="1"/>
  <c r="E43" i="1" s="1"/>
  <c r="E49" i="1" s="1"/>
  <c r="E51" i="1" s="1"/>
  <c r="P45" i="1"/>
  <c r="U12" i="1"/>
  <c r="U14" i="1" s="1"/>
  <c r="U43" i="1" s="1"/>
  <c r="U49" i="1" s="1"/>
  <c r="U51" i="1" s="1"/>
  <c r="P24" i="1"/>
  <c r="Y24" i="1" s="1"/>
  <c r="AA24" i="1" s="1"/>
  <c r="T42" i="1"/>
  <c r="T43" i="1" s="1"/>
  <c r="T49" i="1" s="1"/>
  <c r="T51" i="1" s="1"/>
  <c r="AA12" i="1" l="1"/>
  <c r="AA14" i="1" s="1"/>
  <c r="AA22" i="1"/>
  <c r="L43" i="1"/>
  <c r="L49" i="1" s="1"/>
  <c r="L51" i="1" s="1"/>
  <c r="Y29" i="1"/>
  <c r="AA29" i="1" s="1"/>
  <c r="V49" i="1"/>
  <c r="V51" i="1" s="1"/>
  <c r="W43" i="1"/>
  <c r="W49" i="1" s="1"/>
  <c r="W51" i="1" s="1"/>
  <c r="P12" i="1"/>
  <c r="P14" i="1" s="1"/>
  <c r="Y12" i="1"/>
  <c r="Y14" i="1" s="1"/>
  <c r="C36" i="1" l="1"/>
  <c r="C45" i="1" l="1"/>
  <c r="Y36" i="1"/>
  <c r="AA36" i="1" s="1"/>
  <c r="C30" i="1"/>
  <c r="C31" i="1"/>
  <c r="J30" i="1"/>
  <c r="J31" i="1"/>
  <c r="P31" i="1" s="1"/>
  <c r="C42" i="1" l="1"/>
  <c r="C43" i="1" s="1"/>
  <c r="Y31" i="1"/>
  <c r="P30" i="1"/>
  <c r="J42" i="1"/>
  <c r="J43" i="1" s="1"/>
  <c r="J49" i="1" s="1"/>
  <c r="J51" i="1" s="1"/>
  <c r="C47" i="1"/>
  <c r="C48" i="1" s="1"/>
  <c r="C49" i="1" s="1"/>
  <c r="C51" i="1" s="1"/>
  <c r="Y45" i="1"/>
  <c r="Y47" i="1" s="1"/>
  <c r="Y48" i="1" s="1"/>
  <c r="Y30" i="1" l="1"/>
  <c r="P42" i="1"/>
  <c r="P43" i="1" s="1"/>
  <c r="P49" i="1" s="1"/>
  <c r="P51" i="1" s="1"/>
  <c r="Y42" i="1" l="1"/>
  <c r="Y43" i="1" s="1"/>
  <c r="Y49" i="1" s="1"/>
  <c r="Y51" i="1" s="1"/>
  <c r="AA30" i="1"/>
  <c r="AA31" i="1" l="1"/>
  <c r="AA42" i="1"/>
  <c r="AA43" i="1" s="1"/>
  <c r="AA49" i="1" s="1"/>
  <c r="AA51" i="1" s="1"/>
</calcChain>
</file>

<file path=xl/sharedStrings.xml><?xml version="1.0" encoding="utf-8"?>
<sst xmlns="http://schemas.openxmlformats.org/spreadsheetml/2006/main" count="90" uniqueCount="70">
  <si>
    <t>Penn Center, Inc</t>
  </si>
  <si>
    <t>Consolidated Income Statement 2022 Budget Projection</t>
  </si>
  <si>
    <t>CC Meeting Space</t>
  </si>
  <si>
    <t>H&amp;C</t>
  </si>
  <si>
    <t>M &amp; G</t>
  </si>
  <si>
    <t>1772 Foundation</t>
  </si>
  <si>
    <t>ATAX 2020</t>
  </si>
  <si>
    <t>Community Garden</t>
  </si>
  <si>
    <t>Delinquent Taxes</t>
  </si>
  <si>
    <t>SC Humanities</t>
  </si>
  <si>
    <t>Food Program</t>
  </si>
  <si>
    <t>Heritage Harvest Tour</t>
  </si>
  <si>
    <t>Rental Activity</t>
  </si>
  <si>
    <t>SC Cares Act</t>
  </si>
  <si>
    <t>Vital Worship</t>
  </si>
  <si>
    <t>Total M &amp; G</t>
  </si>
  <si>
    <t>MAINTENANCE</t>
  </si>
  <si>
    <t>PACE</t>
  </si>
  <si>
    <t>Child/Afterschool Care</t>
  </si>
  <si>
    <t>SFP</t>
  </si>
  <si>
    <t>Total PACE</t>
  </si>
  <si>
    <t>TOTAL</t>
  </si>
  <si>
    <t>trend</t>
  </si>
  <si>
    <t>2023 Budget</t>
  </si>
  <si>
    <t xml:space="preserve">Revenue    </t>
  </si>
  <si>
    <t>Fundraising Revenue</t>
  </si>
  <si>
    <t>Program Income</t>
  </si>
  <si>
    <t>Contributions</t>
  </si>
  <si>
    <t>Rental income</t>
  </si>
  <si>
    <t>Other income</t>
  </si>
  <si>
    <t>Total income</t>
  </si>
  <si>
    <t>Cost of Goods Sold</t>
  </si>
  <si>
    <t>Gross Profit</t>
  </si>
  <si>
    <t>Expenditures</t>
  </si>
  <si>
    <t xml:space="preserve">   Advertisement</t>
  </si>
  <si>
    <t xml:space="preserve">   Total Bank Charge (Fees)</t>
  </si>
  <si>
    <t xml:space="preserve">   Board Gifts</t>
  </si>
  <si>
    <t xml:space="preserve">   Contract Labor</t>
  </si>
  <si>
    <t xml:space="preserve">   Contributions</t>
  </si>
  <si>
    <t xml:space="preserve">   Total Equipment rental and expenditures</t>
  </si>
  <si>
    <t xml:space="preserve">   Total Fundraising Expenses</t>
  </si>
  <si>
    <t xml:space="preserve">   General Administration</t>
  </si>
  <si>
    <t xml:space="preserve">      Allocated Overhead</t>
  </si>
  <si>
    <t xml:space="preserve">   Total General Administration</t>
  </si>
  <si>
    <t xml:space="preserve">   Total Information Technology</t>
  </si>
  <si>
    <t xml:space="preserve">   Insurance</t>
  </si>
  <si>
    <t xml:space="preserve">   Interest Expense</t>
  </si>
  <si>
    <t xml:space="preserve">   Other Taxes Paid</t>
  </si>
  <si>
    <t xml:space="preserve">   Total Payroll Expense</t>
  </si>
  <si>
    <t xml:space="preserve">   Payroll Taxes</t>
  </si>
  <si>
    <t xml:space="preserve">   Postage</t>
  </si>
  <si>
    <t xml:space="preserve">   Total Professional Fees</t>
  </si>
  <si>
    <t xml:space="preserve">   Property Taxes</t>
  </si>
  <si>
    <t xml:space="preserve">   Publication &amp; Advertisments</t>
  </si>
  <si>
    <t xml:space="preserve">   Repairs &amp; Maintenance</t>
  </si>
  <si>
    <t xml:space="preserve">   Sales Tax Expense</t>
  </si>
  <si>
    <t xml:space="preserve">   Security</t>
  </si>
  <si>
    <t xml:space="preserve">   Total Supplies</t>
  </si>
  <si>
    <t xml:space="preserve">   Travel</t>
  </si>
  <si>
    <t xml:space="preserve">   Total Utilities</t>
  </si>
  <si>
    <t>Total Expenditures</t>
  </si>
  <si>
    <t>Net Operating Revenue</t>
  </si>
  <si>
    <t>Other Revenue</t>
  </si>
  <si>
    <t xml:space="preserve">   Other Income</t>
  </si>
  <si>
    <t xml:space="preserve">   PPP Loan Forgiveness</t>
  </si>
  <si>
    <t>Total Other Revenue</t>
  </si>
  <si>
    <t>Net Other Revenue</t>
  </si>
  <si>
    <t>Net Revenue</t>
  </si>
  <si>
    <t>2021 Depreciation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</si>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</sst>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2" borderId="0" xfId="0" applyFill="1"/>
    <xf numFmtId="5" fontId="0" fillId="0" borderId="0" xfId="0" applyNumberFormat="1"/>
    <xf numFmtId="42" fontId="0" fillId="0" borderId="0" xfId="0" applyNumberFormat="1"/>
    <xf numFmtId="5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5" fontId="0" fillId="0" borderId="1" xfId="0" applyNumberFormat="1" applyBorder="1"/>
    <xf numFmtId="42" fontId="0" fillId="0" borderId="1" xfId="0" applyNumberFormat="1" applyBorder="1"/>
    <xf numFmtId="5" fontId="0" fillId="2" borderId="1" xfId="0" applyNumberFormat="1" applyFill="1" applyBorder="1"/>
    <xf numFmtId="5" fontId="0" fillId="0" borderId="2" xfId="0" applyNumberFormat="1" applyBorder="1"/>
    <xf numFmtId="5" fontId="0" fillId="2" borderId="2" xfId="0" applyNumberFormat="1" applyFill="1" applyBorder="1"/>
    <xf numFmtId="0" fontId="3" fillId="0" borderId="0" xfId="0" applyFont="1" applyAlignment="1">
      <alignment horizontal="left"/>
    </xf>
    <xf numFmtId="164" fontId="0" fillId="0" borderId="2" xfId="0" applyNumberFormat="1" applyBorder="1"/>
    <xf numFmtId="164" fontId="0" fillId="2" borderId="2" xfId="0" applyNumberFormat="1" applyFill="1" applyBorder="1"/>
    <xf numFmtId="0" fontId="0" fillId="0" borderId="2" xfId="0" applyBorder="1"/>
    <xf numFmtId="0" fontId="3" fillId="0" borderId="0" xfId="0" quotePrefix="1" applyFont="1" applyAlignment="1">
      <alignment horizontal="left" wrapText="1"/>
    </xf>
    <xf numFmtId="5" fontId="0" fillId="0" borderId="3" xfId="0" applyNumberFormat="1" applyBorder="1"/>
    <xf numFmtId="5" fontId="0" fillId="2" borderId="3" xfId="0" applyNumberFormat="1" applyFill="1" applyBorder="1"/>
    <xf numFmtId="0" fontId="2" fillId="0" borderId="0" xfId="0" applyFont="1" applyAlignment="1">
      <alignment horizontal="center" wrapText="1"/>
    </xf>
    <xf numFmtId="10" fontId="0" fillId="0" borderId="0" xfId="0" applyNumberFormat="1"/>
    <xf numFmtId="164" fontId="0" fillId="0" borderId="0" xfId="0" applyNumberForma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n/OneDrive/Documents/Documents/Penn%20Center/Budget/2022%20Budget/Projected%202021%20and%202022%20Budget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Activity by Class"/>
      <sheetName val="2021 Summary"/>
      <sheetName val="Payroll 2022"/>
      <sheetName val="Projected 2022"/>
      <sheetName val="Sheet1"/>
    </sheetNames>
    <sheetDataSet>
      <sheetData sheetId="0">
        <row r="209">
          <cell r="S209">
            <v>27455</v>
          </cell>
        </row>
        <row r="212">
          <cell r="B212" t="str">
            <v xml:space="preserve"> </v>
          </cell>
          <cell r="E212" t="str">
            <v xml:space="preserve"> </v>
          </cell>
          <cell r="F212" t="str">
            <v xml:space="preserve"> </v>
          </cell>
          <cell r="G212" t="str">
            <v xml:space="preserve"> </v>
          </cell>
          <cell r="H212" t="str">
            <v xml:space="preserve"> </v>
          </cell>
          <cell r="I212" t="str">
            <v xml:space="preserve"> </v>
          </cell>
          <cell r="J212" t="str">
            <v xml:space="preserve"> </v>
          </cell>
          <cell r="K212" t="str">
            <v xml:space="preserve"> </v>
          </cell>
          <cell r="L212" t="str">
            <v xml:space="preserve"> </v>
          </cell>
          <cell r="M212" t="str">
            <v xml:space="preserve"> </v>
          </cell>
          <cell r="N212" t="str">
            <v xml:space="preserve"> </v>
          </cell>
          <cell r="O212">
            <v>6704.2919999999995</v>
          </cell>
          <cell r="P212" t="str">
            <v xml:space="preserve"> </v>
          </cell>
          <cell r="Q212" t="str">
            <v xml:space="preserve"> </v>
          </cell>
          <cell r="S212">
            <v>72</v>
          </cell>
        </row>
        <row r="213">
          <cell r="C213" t="str">
            <v xml:space="preserve"> </v>
          </cell>
          <cell r="E213" t="str">
            <v xml:space="preserve"> </v>
          </cell>
          <cell r="F213" t="str">
            <v xml:space="preserve"> </v>
          </cell>
          <cell r="G213" t="str">
            <v xml:space="preserve"> </v>
          </cell>
          <cell r="H213" t="str">
            <v xml:space="preserve"> </v>
          </cell>
          <cell r="I213" t="str">
            <v xml:space="preserve"> </v>
          </cell>
          <cell r="J213" t="str">
            <v xml:space="preserve"> </v>
          </cell>
          <cell r="K213" t="str">
            <v xml:space="preserve"> </v>
          </cell>
          <cell r="L213" t="str">
            <v xml:space="preserve"> </v>
          </cell>
          <cell r="M213" t="str">
            <v xml:space="preserve"> </v>
          </cell>
          <cell r="N213" t="str">
            <v xml:space="preserve"> </v>
          </cell>
          <cell r="P213">
            <v>543.22799999999995</v>
          </cell>
          <cell r="Q213" t="str">
            <v xml:space="preserve"> </v>
          </cell>
          <cell r="S213">
            <v>1945.8</v>
          </cell>
        </row>
        <row r="215">
          <cell r="P215">
            <v>47.940000000000005</v>
          </cell>
          <cell r="T215">
            <v>1154.28</v>
          </cell>
        </row>
        <row r="221">
          <cell r="S221">
            <v>462</v>
          </cell>
        </row>
        <row r="228">
          <cell r="E228" t="str">
            <v xml:space="preserve"> 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  <cell r="I228" t="str">
            <v xml:space="preserve"> </v>
          </cell>
          <cell r="J228" t="str">
            <v xml:space="preserve"> </v>
          </cell>
          <cell r="K228" t="str">
            <v xml:space="preserve"> </v>
          </cell>
          <cell r="M228" t="str">
            <v xml:space="preserve"> </v>
          </cell>
          <cell r="N228" t="str">
            <v xml:space="preserve"> </v>
          </cell>
          <cell r="O228">
            <v>15130.296</v>
          </cell>
          <cell r="Q228" t="str">
            <v xml:space="preserve"> </v>
          </cell>
        </row>
        <row r="234">
          <cell r="B234" t="str">
            <v xml:space="preserve"> </v>
          </cell>
        </row>
      </sheetData>
      <sheetData sheetId="1"/>
      <sheetData sheetId="2"/>
      <sheetData sheetId="3">
        <row r="5">
          <cell r="O5">
            <v>3000</v>
          </cell>
        </row>
        <row r="6">
          <cell r="C6">
            <v>47672.774999999994</v>
          </cell>
        </row>
        <row r="7">
          <cell r="D7">
            <v>7500</v>
          </cell>
          <cell r="E7">
            <v>40170.489999999991</v>
          </cell>
          <cell r="S7">
            <v>50000</v>
          </cell>
        </row>
        <row r="11">
          <cell r="D11">
            <v>222199.02</v>
          </cell>
        </row>
        <row r="12">
          <cell r="E12">
            <v>1500</v>
          </cell>
        </row>
        <row r="13">
          <cell r="J13">
            <v>14000</v>
          </cell>
        </row>
        <row r="15">
          <cell r="E15">
            <v>2772.9</v>
          </cell>
        </row>
        <row r="16">
          <cell r="N16"/>
        </row>
        <row r="19">
          <cell r="S19">
            <v>57874.720000000008</v>
          </cell>
        </row>
        <row r="20">
          <cell r="F20">
            <v>0</v>
          </cell>
          <cell r="G20">
            <v>0</v>
          </cell>
          <cell r="I20">
            <v>10835.93</v>
          </cell>
          <cell r="K20">
            <v>1020.18</v>
          </cell>
          <cell r="L20">
            <v>21500</v>
          </cell>
          <cell r="M20">
            <v>70000</v>
          </cell>
          <cell r="T20">
            <v>552121.55000000005</v>
          </cell>
        </row>
        <row r="24">
          <cell r="D24">
            <v>31516.388999999999</v>
          </cell>
          <cell r="O24">
            <v>340.08</v>
          </cell>
        </row>
        <row r="27">
          <cell r="E27">
            <v>300</v>
          </cell>
        </row>
        <row r="30">
          <cell r="D30">
            <v>2500</v>
          </cell>
          <cell r="E30">
            <v>1000</v>
          </cell>
          <cell r="T30">
            <v>46</v>
          </cell>
        </row>
        <row r="31">
          <cell r="E31">
            <v>0</v>
          </cell>
        </row>
        <row r="32">
          <cell r="D32">
            <v>2667.83</v>
          </cell>
          <cell r="Q32">
            <v>45000</v>
          </cell>
          <cell r="T32">
            <v>0</v>
          </cell>
        </row>
        <row r="36">
          <cell r="E36">
            <v>5400</v>
          </cell>
          <cell r="H36">
            <v>0</v>
          </cell>
          <cell r="J36">
            <v>0</v>
          </cell>
          <cell r="T36">
            <v>0</v>
          </cell>
        </row>
        <row r="42">
          <cell r="L42">
            <v>21500</v>
          </cell>
        </row>
        <row r="43">
          <cell r="C43"/>
          <cell r="D43"/>
        </row>
        <row r="44">
          <cell r="Q44">
            <v>4731</v>
          </cell>
          <cell r="R44">
            <v>4041</v>
          </cell>
          <cell r="S44">
            <v>7457</v>
          </cell>
        </row>
        <row r="45">
          <cell r="C45">
            <v>4946</v>
          </cell>
          <cell r="D45">
            <v>13725</v>
          </cell>
          <cell r="E45">
            <v>-85451</v>
          </cell>
          <cell r="M45">
            <v>23096</v>
          </cell>
          <cell r="R45">
            <v>4041</v>
          </cell>
          <cell r="S45">
            <v>7457</v>
          </cell>
          <cell r="T45">
            <v>27455</v>
          </cell>
        </row>
        <row r="48">
          <cell r="D48">
            <v>3311.7120000000004</v>
          </cell>
          <cell r="E48">
            <v>6704.2920000000004</v>
          </cell>
          <cell r="S48">
            <v>480</v>
          </cell>
        </row>
        <row r="49">
          <cell r="C49">
            <v>665.904</v>
          </cell>
          <cell r="E49">
            <v>63334.22</v>
          </cell>
          <cell r="P49">
            <v>63334.22</v>
          </cell>
          <cell r="S49">
            <v>931.17600000000004</v>
          </cell>
        </row>
        <row r="50">
          <cell r="E50">
            <v>5263.6559999999999</v>
          </cell>
        </row>
        <row r="55">
          <cell r="C55">
            <v>30056</v>
          </cell>
          <cell r="D55">
            <v>38956.800000000003</v>
          </cell>
          <cell r="E55">
            <v>166423.008</v>
          </cell>
          <cell r="F55">
            <v>0</v>
          </cell>
          <cell r="G55">
            <v>0</v>
          </cell>
          <cell r="J55">
            <v>14000</v>
          </cell>
          <cell r="Q55">
            <v>20280</v>
          </cell>
          <cell r="R55">
            <v>16923.04</v>
          </cell>
          <cell r="S55">
            <v>112320</v>
          </cell>
          <cell r="T55">
            <v>275426.83999999997</v>
          </cell>
        </row>
        <row r="56">
          <cell r="C56">
            <v>2299.2840000000001</v>
          </cell>
          <cell r="D56">
            <v>2980.1952000000001</v>
          </cell>
          <cell r="E56">
            <v>12339.755999999999</v>
          </cell>
          <cell r="F56">
            <v>0</v>
          </cell>
          <cell r="J56">
            <v>1071</v>
          </cell>
          <cell r="Q56">
            <v>1551.42</v>
          </cell>
          <cell r="R56">
            <v>1294.61256</v>
          </cell>
          <cell r="S56">
            <v>8592.48</v>
          </cell>
          <cell r="T56">
            <v>21070.153259999995</v>
          </cell>
        </row>
        <row r="57">
          <cell r="E57">
            <v>689.59199999999998</v>
          </cell>
        </row>
        <row r="61">
          <cell r="E61">
            <v>59250</v>
          </cell>
          <cell r="M61">
            <v>0</v>
          </cell>
          <cell r="N61">
            <v>0</v>
          </cell>
        </row>
        <row r="62">
          <cell r="E62">
            <v>8375.48</v>
          </cell>
          <cell r="I62">
            <v>10835.93</v>
          </cell>
          <cell r="M62">
            <v>17000</v>
          </cell>
        </row>
        <row r="63">
          <cell r="E63">
            <v>2095.21</v>
          </cell>
          <cell r="O63">
            <v>346.41</v>
          </cell>
        </row>
        <row r="64">
          <cell r="C64">
            <v>43393.007999999994</v>
          </cell>
          <cell r="D64">
            <v>5031.2</v>
          </cell>
          <cell r="E64">
            <v>4121.4960000000001</v>
          </cell>
          <cell r="M64">
            <v>11008.8</v>
          </cell>
          <cell r="Q64">
            <v>7500</v>
          </cell>
          <cell r="S64">
            <v>500</v>
          </cell>
          <cell r="T64">
            <v>5000</v>
          </cell>
        </row>
        <row r="65">
          <cell r="C65">
            <v>50.052</v>
          </cell>
          <cell r="D65">
            <v>644.23199999999997</v>
          </cell>
        </row>
        <row r="66">
          <cell r="C66">
            <v>5075.7</v>
          </cell>
          <cell r="D66">
            <v>292.62</v>
          </cell>
          <cell r="S66">
            <v>2113.7399999999998</v>
          </cell>
        </row>
        <row r="67">
          <cell r="D67">
            <v>191.03</v>
          </cell>
        </row>
        <row r="70">
          <cell r="E70">
            <v>2308.15</v>
          </cell>
          <cell r="K70">
            <v>1020.18</v>
          </cell>
          <cell r="Q70">
            <v>7.05</v>
          </cell>
          <cell r="S70">
            <v>14450.144</v>
          </cell>
          <cell r="T70">
            <v>201976.98800000001</v>
          </cell>
        </row>
        <row r="71">
          <cell r="E71">
            <v>250</v>
          </cell>
          <cell r="Q71">
            <v>200</v>
          </cell>
          <cell r="S71">
            <v>400</v>
          </cell>
          <cell r="T71">
            <v>12000</v>
          </cell>
        </row>
        <row r="72">
          <cell r="C72">
            <v>28297.0458</v>
          </cell>
        </row>
        <row r="74">
          <cell r="D74">
            <v>6562.3071600000003</v>
          </cell>
          <cell r="E74">
            <v>23996.570119999997</v>
          </cell>
          <cell r="M74">
            <v>12760.14264</v>
          </cell>
          <cell r="Q74">
            <v>2567.33268</v>
          </cell>
          <cell r="S74">
            <v>2890.4107200000003</v>
          </cell>
          <cell r="T74">
            <v>5512.8483999999999</v>
          </cell>
        </row>
        <row r="78">
          <cell r="E78">
            <v>0</v>
          </cell>
          <cell r="H78"/>
        </row>
        <row r="80">
          <cell r="D80">
            <v>0</v>
          </cell>
        </row>
        <row r="83">
          <cell r="E83">
            <v>-257209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2FECB-B376-4631-9B78-F612BE0A89B3}">
  <sheetPr>
    <pageSetUpPr fitToPage="1"/>
  </sheetPr>
  <dimension ref="A2:AA53"/>
  <sheetViews>
    <sheetView tabSelected="1" workbookViewId="0">
      <pane xSplit="1" ySplit="5" topLeftCell="D30" activePane="bottomRight" state="frozen"/>
      <selection pane="topRight" activeCell="B1" sqref="B1"/>
      <selection pane="bottomLeft" activeCell="A6" sqref="A6"/>
      <selection pane="bottomRight" activeCell="M38" sqref="M38"/>
    </sheetView>
  </sheetViews>
  <sheetFormatPr defaultRowHeight="14.25" x14ac:dyDescent="0.2"/>
  <cols>
    <col min="1" max="1" width="23.5" customWidth="1"/>
    <col min="4" max="4" width="1.875" customWidth="1"/>
    <col min="5" max="5" width="11.5" customWidth="1"/>
    <col min="6" max="8" width="9" customWidth="1"/>
    <col min="14" max="14" width="0" hidden="1" customWidth="1"/>
    <col min="16" max="16" width="11.5" customWidth="1"/>
    <col min="17" max="17" width="1.625" customWidth="1"/>
    <col min="18" max="18" width="11.125" customWidth="1"/>
    <col min="19" max="19" width="1.5" customWidth="1"/>
    <col min="20" max="20" width="9.625" customWidth="1"/>
    <col min="23" max="23" width="10.25" customWidth="1"/>
    <col min="24" max="24" width="1.5" customWidth="1"/>
    <col min="25" max="25" width="11.875" customWidth="1"/>
    <col min="27" max="27" width="10.25" customWidth="1"/>
  </cols>
  <sheetData>
    <row r="2" spans="1:27" ht="15" x14ac:dyDescent="0.25">
      <c r="H2" s="1"/>
      <c r="I2" s="2" t="s">
        <v>0</v>
      </c>
      <c r="J2" s="2"/>
      <c r="K2" s="3"/>
      <c r="L2" s="3"/>
    </row>
    <row r="3" spans="1:27" ht="15" x14ac:dyDescent="0.25">
      <c r="H3" s="1"/>
      <c r="I3" s="2" t="s">
        <v>1</v>
      </c>
      <c r="J3" s="2"/>
      <c r="K3" s="3"/>
      <c r="L3" s="3"/>
    </row>
    <row r="5" spans="1:27" ht="36" x14ac:dyDescent="0.2">
      <c r="B5" s="4" t="s">
        <v>2</v>
      </c>
      <c r="C5" s="4" t="s">
        <v>3</v>
      </c>
      <c r="D5" s="5"/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5"/>
      <c r="R5" s="4" t="s">
        <v>16</v>
      </c>
      <c r="S5" s="5"/>
      <c r="T5" s="4" t="s">
        <v>17</v>
      </c>
      <c r="U5" s="4" t="s">
        <v>18</v>
      </c>
      <c r="V5" s="4" t="s">
        <v>19</v>
      </c>
      <c r="W5" s="4" t="s">
        <v>20</v>
      </c>
      <c r="X5" s="5"/>
      <c r="Y5" s="4" t="s">
        <v>21</v>
      </c>
      <c r="Z5" s="25" t="s">
        <v>22</v>
      </c>
      <c r="AA5" s="25" t="s">
        <v>23</v>
      </c>
    </row>
    <row r="6" spans="1:27" ht="15" customHeight="1" x14ac:dyDescent="0.2">
      <c r="A6" s="6" t="s">
        <v>24</v>
      </c>
      <c r="D6" s="7"/>
      <c r="Q6" s="7"/>
      <c r="S6" s="7"/>
      <c r="X6" s="7"/>
    </row>
    <row r="7" spans="1:27" ht="15" customHeight="1" x14ac:dyDescent="0.2">
      <c r="A7" s="6" t="s">
        <v>25</v>
      </c>
      <c r="B7" s="8"/>
      <c r="D7" s="7"/>
      <c r="L7" s="8">
        <f>+'[1]Projected 2022'!$L$20</f>
        <v>21500</v>
      </c>
      <c r="P7" s="9">
        <f>SUM(E7:O7)</f>
        <v>21500</v>
      </c>
      <c r="Q7" s="7"/>
      <c r="S7" s="7"/>
      <c r="T7" s="9">
        <v>0</v>
      </c>
      <c r="U7" s="9">
        <f>SUM(R7)</f>
        <v>0</v>
      </c>
      <c r="V7" s="9">
        <f t="shared" ref="V7" si="0">SUM(T7)</f>
        <v>0</v>
      </c>
      <c r="W7" s="9">
        <f>SUM(T7:V7)</f>
        <v>0</v>
      </c>
      <c r="X7" s="7"/>
      <c r="Y7" s="9">
        <f>+B7+C7+P7+R7+W7</f>
        <v>21500</v>
      </c>
      <c r="Z7" s="26">
        <v>1.1000000000000001</v>
      </c>
      <c r="AA7" s="27">
        <f>+Y7*Z7</f>
        <v>23650.000000000004</v>
      </c>
    </row>
    <row r="8" spans="1:27" ht="15" customHeight="1" x14ac:dyDescent="0.2">
      <c r="A8" s="6" t="s">
        <v>26</v>
      </c>
      <c r="B8" s="8">
        <f>+'[1]Projected 2022'!$C$6</f>
        <v>47672.774999999994</v>
      </c>
      <c r="C8" s="8">
        <f>+'[1]Projected 2022'!$D$11</f>
        <v>222199.02</v>
      </c>
      <c r="D8" s="10"/>
      <c r="F8" s="8">
        <f>+'[1]Projected 2022'!$F$20</f>
        <v>0</v>
      </c>
      <c r="G8" s="8">
        <f>+'[1]Projected 2022'!$G$20</f>
        <v>0</v>
      </c>
      <c r="I8" s="8">
        <f>+'[1]Projected 2022'!$I$20</f>
        <v>10835.93</v>
      </c>
      <c r="J8" s="8">
        <f>+'[1]Projected 2022'!$J$13</f>
        <v>14000</v>
      </c>
      <c r="K8" s="8">
        <f>+'[1]Projected 2022'!$K$20</f>
        <v>1020.18</v>
      </c>
      <c r="N8" s="8">
        <f>+'[1]Projected 2022'!$N$16</f>
        <v>0</v>
      </c>
      <c r="O8" s="8">
        <f>+'[1]Projected 2022'!$O$5</f>
        <v>3000</v>
      </c>
      <c r="P8" s="9">
        <f t="shared" ref="P8:P11" si="1">SUM(E8:O8)</f>
        <v>28856.11</v>
      </c>
      <c r="Q8" s="10"/>
      <c r="S8" s="10"/>
      <c r="U8" s="8">
        <f>+'[1]Projected 2022'!$S$19</f>
        <v>57874.720000000008</v>
      </c>
      <c r="V8" s="8">
        <f>+'[1]Projected 2022'!$T$20</f>
        <v>552121.55000000005</v>
      </c>
      <c r="W8" s="9">
        <f t="shared" ref="W8:W11" si="2">SUM(T8:V8)</f>
        <v>609996.27</v>
      </c>
      <c r="X8" s="10"/>
      <c r="Y8" s="9">
        <f t="shared" ref="Y8:Y11" si="3">+B8+C8+P8+R8+W8</f>
        <v>908724.17500000005</v>
      </c>
      <c r="Z8" s="26">
        <v>1.1000000000000001</v>
      </c>
      <c r="AA8" s="27">
        <f>+(Y8-V8)*Z8</f>
        <v>392262.88750000001</v>
      </c>
    </row>
    <row r="9" spans="1:27" ht="15" customHeight="1" x14ac:dyDescent="0.2">
      <c r="A9" s="6" t="s">
        <v>27</v>
      </c>
      <c r="C9" s="8">
        <f>+'[1]Projected 2022'!$D$7</f>
        <v>7500</v>
      </c>
      <c r="D9" s="10"/>
      <c r="E9" s="8">
        <f>+'[1]Projected 2022'!$E$7</f>
        <v>40170.489999999991</v>
      </c>
      <c r="P9" s="9">
        <f t="shared" si="1"/>
        <v>40170.489999999991</v>
      </c>
      <c r="Q9" s="10"/>
      <c r="S9" s="10"/>
      <c r="U9" s="8">
        <f>+'[1]Projected 2022'!$S$7</f>
        <v>50000</v>
      </c>
      <c r="W9" s="9">
        <f t="shared" si="2"/>
        <v>50000</v>
      </c>
      <c r="X9" s="10"/>
      <c r="Y9" s="9">
        <f t="shared" si="3"/>
        <v>97670.489999999991</v>
      </c>
      <c r="Z9" s="26">
        <v>1.1000000000000001</v>
      </c>
      <c r="AA9" s="27">
        <f t="shared" ref="AA9:AA11" si="4">+Y9*Z9</f>
        <v>107437.539</v>
      </c>
    </row>
    <row r="10" spans="1:27" ht="15" customHeight="1" x14ac:dyDescent="0.2">
      <c r="A10" s="6" t="s">
        <v>28</v>
      </c>
      <c r="D10" s="7"/>
      <c r="M10" s="8">
        <f>+'[1]Projected 2022'!$M$20</f>
        <v>70000</v>
      </c>
      <c r="P10" s="9">
        <f t="shared" si="1"/>
        <v>70000</v>
      </c>
      <c r="Q10" s="7"/>
      <c r="S10" s="7"/>
      <c r="W10" s="9">
        <f t="shared" si="2"/>
        <v>0</v>
      </c>
      <c r="X10" s="7"/>
      <c r="Y10" s="9">
        <f t="shared" si="3"/>
        <v>70000</v>
      </c>
      <c r="Z10" s="26">
        <v>1.05</v>
      </c>
      <c r="AA10" s="27">
        <f t="shared" si="4"/>
        <v>73500</v>
      </c>
    </row>
    <row r="11" spans="1:27" ht="15" customHeight="1" x14ac:dyDescent="0.2">
      <c r="A11" s="6" t="s">
        <v>29</v>
      </c>
      <c r="B11" s="11"/>
      <c r="C11" s="11"/>
      <c r="D11" s="12"/>
      <c r="E11" s="13">
        <f>+'[1]Projected 2022'!$E$15+'[1]Projected 2022'!$E$12</f>
        <v>4272.8999999999996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>
        <f t="shared" si="1"/>
        <v>4272.8999999999996</v>
      </c>
      <c r="Q11" s="12"/>
      <c r="R11" s="11"/>
      <c r="S11" s="12"/>
      <c r="T11" s="11"/>
      <c r="U11" s="11"/>
      <c r="V11" s="11"/>
      <c r="W11" s="14">
        <f t="shared" si="2"/>
        <v>0</v>
      </c>
      <c r="X11" s="12"/>
      <c r="Y11" s="14">
        <f t="shared" si="3"/>
        <v>4272.8999999999996</v>
      </c>
      <c r="Z11" s="26">
        <v>1.02</v>
      </c>
      <c r="AA11" s="28">
        <f t="shared" si="4"/>
        <v>4358.3579999999993</v>
      </c>
    </row>
    <row r="12" spans="1:27" ht="15" customHeight="1" x14ac:dyDescent="0.2">
      <c r="A12" s="6" t="s">
        <v>30</v>
      </c>
      <c r="B12" s="8">
        <f>SUM(B7:B11)</f>
        <v>47672.774999999994</v>
      </c>
      <c r="C12" s="8">
        <f t="shared" ref="C12:Y12" si="5">SUM(C7:C11)</f>
        <v>229699.02</v>
      </c>
      <c r="D12" s="10"/>
      <c r="E12" s="8">
        <f t="shared" si="5"/>
        <v>44443.389999999992</v>
      </c>
      <c r="F12" s="8">
        <f t="shared" si="5"/>
        <v>0</v>
      </c>
      <c r="G12" s="8">
        <f t="shared" si="5"/>
        <v>0</v>
      </c>
      <c r="H12" s="8">
        <f t="shared" si="5"/>
        <v>0</v>
      </c>
      <c r="I12" s="8">
        <f t="shared" si="5"/>
        <v>10835.93</v>
      </c>
      <c r="J12" s="8">
        <f t="shared" si="5"/>
        <v>14000</v>
      </c>
      <c r="K12" s="8">
        <f t="shared" si="5"/>
        <v>1020.18</v>
      </c>
      <c r="L12" s="8">
        <f t="shared" si="5"/>
        <v>21500</v>
      </c>
      <c r="M12" s="8">
        <f t="shared" si="5"/>
        <v>70000</v>
      </c>
      <c r="N12" s="8">
        <f t="shared" si="5"/>
        <v>0</v>
      </c>
      <c r="O12" s="8">
        <f t="shared" si="5"/>
        <v>3000</v>
      </c>
      <c r="P12" s="8">
        <f t="shared" si="5"/>
        <v>164799.49999999997</v>
      </c>
      <c r="Q12" s="10"/>
      <c r="R12" s="8">
        <f t="shared" si="5"/>
        <v>0</v>
      </c>
      <c r="S12" s="10"/>
      <c r="T12" s="8">
        <f t="shared" si="5"/>
        <v>0</v>
      </c>
      <c r="U12" s="8">
        <f t="shared" si="5"/>
        <v>107874.72</v>
      </c>
      <c r="V12" s="8">
        <f t="shared" si="5"/>
        <v>552121.55000000005</v>
      </c>
      <c r="W12" s="8">
        <f t="shared" si="5"/>
        <v>659996.27</v>
      </c>
      <c r="X12" s="10"/>
      <c r="Y12" s="8">
        <f t="shared" si="5"/>
        <v>1102167.5649999999</v>
      </c>
      <c r="Z12" s="26"/>
      <c r="AA12" s="28">
        <f>SUM(AA7:AA11)</f>
        <v>601208.78450000007</v>
      </c>
    </row>
    <row r="13" spans="1:27" ht="15" customHeight="1" x14ac:dyDescent="0.2">
      <c r="A13" s="6" t="s">
        <v>31</v>
      </c>
      <c r="B13" s="13">
        <v>0</v>
      </c>
      <c r="C13" s="13">
        <f>+'[1]Projected 2022'!$D$24</f>
        <v>31516.388999999999</v>
      </c>
      <c r="D13" s="1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>
        <f>+'[1]Projected 2022'!$O$24</f>
        <v>340.08</v>
      </c>
      <c r="P13" s="13">
        <f>+O13</f>
        <v>340.08</v>
      </c>
      <c r="Q13" s="15"/>
      <c r="R13" s="11"/>
      <c r="S13" s="15"/>
      <c r="T13" s="11"/>
      <c r="U13" s="11"/>
      <c r="V13" s="11"/>
      <c r="W13" s="11"/>
      <c r="X13" s="15"/>
      <c r="Y13" s="13">
        <f>+C13+P13</f>
        <v>31856.469000000001</v>
      </c>
      <c r="Z13" s="26">
        <v>1.05</v>
      </c>
      <c r="AA13" s="27">
        <f>+Y13*Z13</f>
        <v>33449.292450000001</v>
      </c>
    </row>
    <row r="14" spans="1:27" ht="15" customHeight="1" x14ac:dyDescent="0.2">
      <c r="A14" s="6" t="s">
        <v>32</v>
      </c>
      <c r="B14" s="16">
        <f>+B12-B13</f>
        <v>47672.774999999994</v>
      </c>
      <c r="C14" s="16">
        <f t="shared" ref="C14:Y14" si="6">+C12-C13</f>
        <v>198182.63099999999</v>
      </c>
      <c r="D14" s="17"/>
      <c r="E14" s="16">
        <f t="shared" si="6"/>
        <v>44443.389999999992</v>
      </c>
      <c r="F14" s="16">
        <f t="shared" si="6"/>
        <v>0</v>
      </c>
      <c r="G14" s="16">
        <f t="shared" si="6"/>
        <v>0</v>
      </c>
      <c r="H14" s="16">
        <f t="shared" si="6"/>
        <v>0</v>
      </c>
      <c r="I14" s="16">
        <f t="shared" si="6"/>
        <v>10835.93</v>
      </c>
      <c r="J14" s="16">
        <f t="shared" si="6"/>
        <v>14000</v>
      </c>
      <c r="K14" s="16">
        <f t="shared" si="6"/>
        <v>1020.18</v>
      </c>
      <c r="L14" s="16">
        <f t="shared" si="6"/>
        <v>21500</v>
      </c>
      <c r="M14" s="16">
        <f t="shared" si="6"/>
        <v>70000</v>
      </c>
      <c r="N14" s="16">
        <f t="shared" si="6"/>
        <v>0</v>
      </c>
      <c r="O14" s="16">
        <f t="shared" si="6"/>
        <v>2659.92</v>
      </c>
      <c r="P14" s="16">
        <f t="shared" si="6"/>
        <v>164459.41999999998</v>
      </c>
      <c r="Q14" s="17"/>
      <c r="R14" s="16">
        <f t="shared" si="6"/>
        <v>0</v>
      </c>
      <c r="S14" s="17"/>
      <c r="T14" s="16">
        <f t="shared" si="6"/>
        <v>0</v>
      </c>
      <c r="U14" s="16">
        <f t="shared" si="6"/>
        <v>107874.72</v>
      </c>
      <c r="V14" s="16">
        <f t="shared" si="6"/>
        <v>552121.55000000005</v>
      </c>
      <c r="W14" s="16">
        <f t="shared" si="6"/>
        <v>659996.27</v>
      </c>
      <c r="X14" s="17"/>
      <c r="Y14" s="16">
        <f t="shared" si="6"/>
        <v>1070311.0959999999</v>
      </c>
      <c r="Z14" s="26"/>
      <c r="AA14" s="28">
        <f>+AA12-AA13</f>
        <v>567759.49205000012</v>
      </c>
    </row>
    <row r="15" spans="1:27" ht="15" customHeight="1" x14ac:dyDescent="0.2">
      <c r="A15" s="6" t="s">
        <v>33</v>
      </c>
      <c r="D15" s="7"/>
      <c r="Q15" s="7"/>
      <c r="S15" s="7"/>
      <c r="X15" s="7"/>
      <c r="Z15" s="26"/>
      <c r="AA15" s="27"/>
    </row>
    <row r="16" spans="1:27" ht="15" customHeight="1" x14ac:dyDescent="0.2">
      <c r="A16" s="6" t="s">
        <v>34</v>
      </c>
      <c r="D16" s="7"/>
      <c r="E16" s="8">
        <f>+'[1]Projected 2022'!$E$27</f>
        <v>300</v>
      </c>
      <c r="P16" s="8">
        <f>+E16</f>
        <v>300</v>
      </c>
      <c r="Q16" s="7"/>
      <c r="S16" s="7"/>
      <c r="X16" s="7"/>
      <c r="Y16" s="8">
        <f>+B16+C16+E16+W16</f>
        <v>300</v>
      </c>
      <c r="Z16" s="26">
        <v>1.05</v>
      </c>
      <c r="AA16" s="27">
        <f t="shared" ref="AA16:AA21" si="7">+Y16*Z16</f>
        <v>315</v>
      </c>
    </row>
    <row r="17" spans="1:27" ht="15" customHeight="1" x14ac:dyDescent="0.2">
      <c r="A17" s="6" t="s">
        <v>35</v>
      </c>
      <c r="C17" s="8">
        <f>+'[1]Projected 2022'!$D$30</f>
        <v>2500</v>
      </c>
      <c r="D17" s="10"/>
      <c r="E17" s="8">
        <f>+'[1]Projected 2022'!$E$30</f>
        <v>1000</v>
      </c>
      <c r="P17" s="8">
        <f>+E17</f>
        <v>1000</v>
      </c>
      <c r="Q17" s="10"/>
      <c r="S17" s="10"/>
      <c r="V17" s="8">
        <f>+'[1]Projected 2022'!$T$30</f>
        <v>46</v>
      </c>
      <c r="W17" s="8">
        <f>+V17</f>
        <v>46</v>
      </c>
      <c r="X17" s="10"/>
      <c r="Y17" s="8">
        <f>+B17+C17+E17+W17</f>
        <v>3546</v>
      </c>
      <c r="Z17" s="26">
        <v>1.05</v>
      </c>
      <c r="AA17" s="27">
        <f t="shared" si="7"/>
        <v>3723.3</v>
      </c>
    </row>
    <row r="18" spans="1:27" ht="15" customHeight="1" x14ac:dyDescent="0.2">
      <c r="A18" s="6" t="s">
        <v>36</v>
      </c>
      <c r="D18" s="7"/>
      <c r="E18" s="8">
        <f>+'[1]Projected 2022'!$E$31</f>
        <v>0</v>
      </c>
      <c r="P18" s="8">
        <f>+E18</f>
        <v>0</v>
      </c>
      <c r="Q18" s="7"/>
      <c r="S18" s="7"/>
      <c r="X18" s="7"/>
      <c r="Y18" s="8">
        <f>+B18+C18+E18+W18</f>
        <v>0</v>
      </c>
      <c r="Z18" s="26"/>
      <c r="AA18" s="27">
        <f t="shared" si="7"/>
        <v>0</v>
      </c>
    </row>
    <row r="19" spans="1:27" ht="15" customHeight="1" x14ac:dyDescent="0.2">
      <c r="A19" s="6" t="s">
        <v>37</v>
      </c>
      <c r="C19" s="8">
        <f>+'[1]Projected 2022'!$D$32</f>
        <v>2667.83</v>
      </c>
      <c r="D19" s="10"/>
      <c r="H19" s="8">
        <f>+'[1]Projected 2022'!$H$36</f>
        <v>0</v>
      </c>
      <c r="P19" s="8">
        <f>+H19</f>
        <v>0</v>
      </c>
      <c r="Q19" s="10"/>
      <c r="R19" s="8">
        <f>+'[1]Projected 2022'!$Q$32</f>
        <v>45000</v>
      </c>
      <c r="S19" s="10"/>
      <c r="V19" s="8">
        <f>+'[1]Projected 2022'!$T$32</f>
        <v>0</v>
      </c>
      <c r="W19" s="8">
        <f>+V19</f>
        <v>0</v>
      </c>
      <c r="X19" s="10"/>
      <c r="Y19" s="8">
        <f>+B19+C19+E19+W19+R19+P19</f>
        <v>47667.83</v>
      </c>
      <c r="Z19" s="26">
        <v>1.1000000000000001</v>
      </c>
      <c r="AA19" s="27">
        <f t="shared" si="7"/>
        <v>52434.613000000005</v>
      </c>
    </row>
    <row r="20" spans="1:27" ht="15" customHeight="1" x14ac:dyDescent="0.2">
      <c r="A20" s="6" t="s">
        <v>38</v>
      </c>
      <c r="D20" s="7"/>
      <c r="E20" s="8">
        <v>0</v>
      </c>
      <c r="P20" s="8">
        <f>+E20</f>
        <v>0</v>
      </c>
      <c r="Q20" s="7"/>
      <c r="S20" s="7"/>
      <c r="X20" s="7"/>
      <c r="Y20" s="8">
        <f>+P20</f>
        <v>0</v>
      </c>
      <c r="Z20" s="26"/>
      <c r="AA20" s="27">
        <f t="shared" si="7"/>
        <v>0</v>
      </c>
    </row>
    <row r="21" spans="1:27" ht="15" customHeight="1" x14ac:dyDescent="0.2">
      <c r="A21" s="18" t="s">
        <v>39</v>
      </c>
      <c r="D21" s="7"/>
      <c r="E21" s="8">
        <f>+'[1]Projected 2022'!$E$36</f>
        <v>5400</v>
      </c>
      <c r="J21" s="8">
        <f>+'[1]Projected 2022'!$J$36</f>
        <v>0</v>
      </c>
      <c r="P21" s="8">
        <f>+E21+J21</f>
        <v>5400</v>
      </c>
      <c r="Q21" s="7"/>
      <c r="S21" s="7"/>
      <c r="V21" s="8">
        <f>+'[1]Projected 2022'!$T$36</f>
        <v>0</v>
      </c>
      <c r="W21" s="8">
        <f>+V21</f>
        <v>0</v>
      </c>
      <c r="X21" s="7"/>
      <c r="Y21" s="8">
        <f>+W21+P21+C21+B21</f>
        <v>5400</v>
      </c>
      <c r="Z21" s="26">
        <v>1.1000000000000001</v>
      </c>
      <c r="AA21" s="27">
        <f t="shared" si="7"/>
        <v>5940.0000000000009</v>
      </c>
    </row>
    <row r="22" spans="1:27" ht="15" customHeight="1" x14ac:dyDescent="0.2">
      <c r="A22" s="6" t="s">
        <v>40</v>
      </c>
      <c r="D22" s="7"/>
      <c r="L22" s="8">
        <f>+'[1]Projected 2022'!$L$42</f>
        <v>21500</v>
      </c>
      <c r="P22" s="8">
        <f>+L22</f>
        <v>21500</v>
      </c>
      <c r="Q22" s="7"/>
      <c r="S22" s="7"/>
      <c r="X22" s="7"/>
      <c r="Y22" s="8">
        <f>+W22+P22+C22+B22</f>
        <v>21500</v>
      </c>
      <c r="Z22" s="26"/>
      <c r="AA22" s="27">
        <f>+AA7</f>
        <v>23650.000000000004</v>
      </c>
    </row>
    <row r="23" spans="1:27" ht="15" customHeight="1" x14ac:dyDescent="0.2">
      <c r="A23" s="6" t="s">
        <v>41</v>
      </c>
      <c r="B23" s="8">
        <f>+'[1]Projected 2022'!$C$43</f>
        <v>0</v>
      </c>
      <c r="C23" s="8">
        <f>+'[1]Projected 2022'!$D$43</f>
        <v>0</v>
      </c>
      <c r="D23" s="10"/>
      <c r="E23" s="8">
        <v>0</v>
      </c>
      <c r="P23" s="8">
        <f>+E23</f>
        <v>0</v>
      </c>
      <c r="Q23" s="10"/>
      <c r="S23" s="10"/>
      <c r="X23" s="10"/>
      <c r="Y23" s="8">
        <f>+B23+C23+P23+R23+W23</f>
        <v>0</v>
      </c>
      <c r="Z23" s="26"/>
      <c r="AA23" s="27">
        <f t="shared" ref="AA23:AA29" si="8">+Y23*Z23</f>
        <v>0</v>
      </c>
    </row>
    <row r="24" spans="1:27" ht="15" customHeight="1" x14ac:dyDescent="0.2">
      <c r="A24" s="6" t="s">
        <v>42</v>
      </c>
      <c r="B24" s="8">
        <f>+'[1]Projected 2022'!$C$45</f>
        <v>4946</v>
      </c>
      <c r="C24" s="8">
        <f>+'[1]Projected 2022'!$D$45</f>
        <v>13725</v>
      </c>
      <c r="D24" s="10"/>
      <c r="E24" s="8">
        <f>+'[1]Projected 2022'!$E$45</f>
        <v>-85451</v>
      </c>
      <c r="M24" s="8">
        <f>+'[1]Projected 2022'!$M$45</f>
        <v>23096</v>
      </c>
      <c r="P24" s="8">
        <f>+E24+M24</f>
        <v>-62355</v>
      </c>
      <c r="Q24" s="10"/>
      <c r="R24" s="8">
        <f>+'[1]Projected 2022'!$Q$44</f>
        <v>4731</v>
      </c>
      <c r="S24" s="10"/>
      <c r="T24" s="8">
        <f>+'[1]Projected 2022'!$R$44</f>
        <v>4041</v>
      </c>
      <c r="U24" s="8">
        <f>+'[1]Projected 2022'!$S$44</f>
        <v>7457</v>
      </c>
      <c r="V24" s="8">
        <f>+'[1]Projected 2022'!$T$45</f>
        <v>27455</v>
      </c>
      <c r="W24" s="8">
        <f>+V24+U24+T24</f>
        <v>38953</v>
      </c>
      <c r="X24" s="10"/>
      <c r="Y24" s="8">
        <f>+B24+C24+P24+R24+W24</f>
        <v>0</v>
      </c>
      <c r="Z24" s="26">
        <v>1.1000000000000001</v>
      </c>
      <c r="AA24" s="27">
        <f t="shared" si="8"/>
        <v>0</v>
      </c>
    </row>
    <row r="25" spans="1:27" ht="15" customHeight="1" x14ac:dyDescent="0.2">
      <c r="A25" s="6" t="s">
        <v>43</v>
      </c>
      <c r="B25" s="8">
        <f>+B23+B24</f>
        <v>4946</v>
      </c>
      <c r="C25" s="8">
        <f t="shared" ref="C25:E25" si="9">+C23+C24</f>
        <v>13725</v>
      </c>
      <c r="D25" s="10"/>
      <c r="E25" s="8">
        <f t="shared" si="9"/>
        <v>-85451</v>
      </c>
      <c r="M25" s="8">
        <f>+M24</f>
        <v>23096</v>
      </c>
      <c r="P25" s="8">
        <f>+E25+M25</f>
        <v>-62355</v>
      </c>
      <c r="Q25" s="10"/>
      <c r="R25" s="8">
        <f>+R24</f>
        <v>4731</v>
      </c>
      <c r="S25" s="10"/>
      <c r="T25" s="8">
        <f>+'[1]Projected 2022'!$R$45</f>
        <v>4041</v>
      </c>
      <c r="U25" s="8">
        <f>+'[1]Projected 2022'!$S$45</f>
        <v>7457</v>
      </c>
      <c r="V25" s="8">
        <f>+'[1]Statement of Activity by Class'!S209</f>
        <v>27455</v>
      </c>
      <c r="W25" s="8">
        <f t="shared" ref="W25" si="10">+V25+U25+T25</f>
        <v>38953</v>
      </c>
      <c r="X25" s="10"/>
      <c r="Y25" s="8">
        <f>+B25+C25+P25+R25+W25</f>
        <v>0</v>
      </c>
      <c r="Z25" s="26"/>
      <c r="AA25" s="27">
        <f t="shared" si="8"/>
        <v>0</v>
      </c>
    </row>
    <row r="26" spans="1:27" ht="15" customHeight="1" x14ac:dyDescent="0.2">
      <c r="A26" s="6" t="s">
        <v>44</v>
      </c>
      <c r="B26" s="8" t="str">
        <f>+'[1]Statement of Activity by Class'!B212</f>
        <v xml:space="preserve"> </v>
      </c>
      <c r="C26" s="8">
        <f>+'[1]Projected 2022'!$D$48</f>
        <v>3311.7120000000004</v>
      </c>
      <c r="D26" s="10"/>
      <c r="E26" s="8">
        <f>+'[1]Projected 2022'!$E$48</f>
        <v>6704.2920000000004</v>
      </c>
      <c r="F26" s="8" t="str">
        <f>+'[1]Statement of Activity by Class'!E212</f>
        <v xml:space="preserve"> </v>
      </c>
      <c r="G26" s="8" t="str">
        <f>+'[1]Statement of Activity by Class'!F212</f>
        <v xml:space="preserve"> </v>
      </c>
      <c r="H26" s="8" t="str">
        <f>+'[1]Statement of Activity by Class'!G212</f>
        <v xml:space="preserve"> </v>
      </c>
      <c r="I26" s="8" t="str">
        <f>+'[1]Statement of Activity by Class'!H212</f>
        <v xml:space="preserve"> </v>
      </c>
      <c r="J26" s="8" t="str">
        <f>+'[1]Statement of Activity by Class'!I212</f>
        <v xml:space="preserve"> </v>
      </c>
      <c r="K26" s="8" t="str">
        <f>+'[1]Statement of Activity by Class'!J212</f>
        <v xml:space="preserve"> </v>
      </c>
      <c r="L26" s="8" t="str">
        <f>+'[1]Statement of Activity by Class'!K212</f>
        <v xml:space="preserve"> </v>
      </c>
      <c r="M26" s="8" t="str">
        <f>+'[1]Statement of Activity by Class'!L212</f>
        <v xml:space="preserve"> </v>
      </c>
      <c r="N26" s="8" t="str">
        <f>+'[1]Statement of Activity by Class'!M212</f>
        <v xml:space="preserve"> </v>
      </c>
      <c r="O26" s="8" t="str">
        <f>+'[1]Statement of Activity by Class'!N212</f>
        <v xml:space="preserve"> </v>
      </c>
      <c r="P26" s="8">
        <f>+'[1]Statement of Activity by Class'!O212</f>
        <v>6704.2919999999995</v>
      </c>
      <c r="Q26" s="10"/>
      <c r="R26" s="8" t="str">
        <f>+'[1]Statement of Activity by Class'!P212</f>
        <v xml:space="preserve"> </v>
      </c>
      <c r="S26" s="10"/>
      <c r="T26" s="8" t="str">
        <f>+'[1]Statement of Activity by Class'!Q212</f>
        <v xml:space="preserve"> </v>
      </c>
      <c r="U26" s="8">
        <f>+'[1]Projected 2022'!$S$48</f>
        <v>480</v>
      </c>
      <c r="V26" s="8">
        <f>+'[1]Statement of Activity by Class'!S212</f>
        <v>72</v>
      </c>
      <c r="W26" s="8">
        <f>+V26+U26</f>
        <v>552</v>
      </c>
      <c r="X26" s="10"/>
      <c r="Y26" s="8">
        <f>+C26+P26+W26</f>
        <v>10568.004000000001</v>
      </c>
      <c r="Z26" s="26">
        <v>1.1000000000000001</v>
      </c>
      <c r="AA26" s="27">
        <f t="shared" si="8"/>
        <v>11624.804400000003</v>
      </c>
    </row>
    <row r="27" spans="1:27" ht="15" customHeight="1" x14ac:dyDescent="0.2">
      <c r="A27" s="6" t="s">
        <v>45</v>
      </c>
      <c r="B27" s="8">
        <f>+'[1]Projected 2022'!$C$49</f>
        <v>665.904</v>
      </c>
      <c r="C27" s="8" t="str">
        <f>+'[1]Statement of Activity by Class'!C213</f>
        <v xml:space="preserve"> </v>
      </c>
      <c r="D27" s="10"/>
      <c r="E27" s="8">
        <f>+'[1]Projected 2022'!$E$49</f>
        <v>63334.22</v>
      </c>
      <c r="F27" s="8" t="str">
        <f>+'[1]Statement of Activity by Class'!E213</f>
        <v xml:space="preserve"> </v>
      </c>
      <c r="G27" s="8" t="str">
        <f>+'[1]Statement of Activity by Class'!F213</f>
        <v xml:space="preserve"> </v>
      </c>
      <c r="H27" s="8" t="str">
        <f>+'[1]Statement of Activity by Class'!G213</f>
        <v xml:space="preserve"> </v>
      </c>
      <c r="I27" s="8" t="str">
        <f>+'[1]Statement of Activity by Class'!H213</f>
        <v xml:space="preserve"> </v>
      </c>
      <c r="J27" s="8" t="str">
        <f>+'[1]Statement of Activity by Class'!I213</f>
        <v xml:space="preserve"> </v>
      </c>
      <c r="K27" s="8" t="str">
        <f>+'[1]Statement of Activity by Class'!J213</f>
        <v xml:space="preserve"> </v>
      </c>
      <c r="L27" s="8" t="str">
        <f>+'[1]Statement of Activity by Class'!K213</f>
        <v xml:space="preserve"> </v>
      </c>
      <c r="M27" s="8" t="str">
        <f>+'[1]Statement of Activity by Class'!L213</f>
        <v xml:space="preserve"> </v>
      </c>
      <c r="N27" s="8" t="str">
        <f>+'[1]Statement of Activity by Class'!M213</f>
        <v xml:space="preserve"> </v>
      </c>
      <c r="O27" s="8" t="str">
        <f>+'[1]Statement of Activity by Class'!N213</f>
        <v xml:space="preserve"> </v>
      </c>
      <c r="P27" s="8">
        <f>+'[1]Projected 2022'!$P$49</f>
        <v>63334.22</v>
      </c>
      <c r="Q27" s="10"/>
      <c r="R27" s="8">
        <f>+'[1]Statement of Activity by Class'!P213</f>
        <v>543.22799999999995</v>
      </c>
      <c r="S27" s="10"/>
      <c r="T27" s="8" t="str">
        <f>+'[1]Statement of Activity by Class'!Q213</f>
        <v xml:space="preserve"> </v>
      </c>
      <c r="U27" s="8">
        <f>+'[1]Projected 2022'!$S$49</f>
        <v>931.17600000000004</v>
      </c>
      <c r="V27" s="8">
        <f>+'[1]Statement of Activity by Class'!S213</f>
        <v>1945.8</v>
      </c>
      <c r="W27" s="8">
        <f>+V27+U27</f>
        <v>2876.9760000000001</v>
      </c>
      <c r="X27" s="10"/>
      <c r="Y27" s="8">
        <f>+B27+P27+R27+W27</f>
        <v>67420.328000000009</v>
      </c>
      <c r="Z27" s="26">
        <v>1.1000000000000001</v>
      </c>
      <c r="AA27" s="27">
        <f t="shared" si="8"/>
        <v>74162.360800000009</v>
      </c>
    </row>
    <row r="28" spans="1:27" ht="15" customHeight="1" x14ac:dyDescent="0.2">
      <c r="A28" s="6" t="s">
        <v>46</v>
      </c>
      <c r="D28" s="7"/>
      <c r="E28" s="8">
        <f>+'[1]Projected 2022'!$E$50</f>
        <v>5263.6559999999999</v>
      </c>
      <c r="P28" s="8">
        <f>+E28</f>
        <v>5263.6559999999999</v>
      </c>
      <c r="Q28" s="7"/>
      <c r="S28" s="7"/>
      <c r="X28" s="7"/>
      <c r="Y28" s="8">
        <f>+P28+R28+W28</f>
        <v>5263.6559999999999</v>
      </c>
      <c r="Z28" s="26">
        <v>1.1000000000000001</v>
      </c>
      <c r="AA28" s="27">
        <f t="shared" si="8"/>
        <v>5790.0216</v>
      </c>
    </row>
    <row r="29" spans="1:27" ht="15" customHeight="1" x14ac:dyDescent="0.2">
      <c r="A29" s="6" t="s">
        <v>47</v>
      </c>
      <c r="D29" s="7"/>
      <c r="Q29" s="7"/>
      <c r="R29" s="8">
        <f>+'[1]Statement of Activity by Class'!P215</f>
        <v>47.940000000000005</v>
      </c>
      <c r="S29" s="7"/>
      <c r="V29" s="8">
        <f>+'[1]Statement of Activity by Class'!T215</f>
        <v>1154.28</v>
      </c>
      <c r="W29" s="8">
        <f>+V29</f>
        <v>1154.28</v>
      </c>
      <c r="X29" s="7"/>
      <c r="Y29" s="8">
        <f>+W29+R29</f>
        <v>1202.22</v>
      </c>
      <c r="Z29" s="26">
        <v>1.05</v>
      </c>
      <c r="AA29" s="27">
        <f t="shared" si="8"/>
        <v>1262.3310000000001</v>
      </c>
    </row>
    <row r="30" spans="1:27" ht="15" customHeight="1" x14ac:dyDescent="0.2">
      <c r="A30" s="6" t="s">
        <v>48</v>
      </c>
      <c r="B30" s="8">
        <f>+'[1]Projected 2022'!$C$55</f>
        <v>30056</v>
      </c>
      <c r="C30" s="8">
        <f>+'[1]Projected 2022'!$D$55</f>
        <v>38956.800000000003</v>
      </c>
      <c r="D30" s="10"/>
      <c r="E30" s="8">
        <f>+'[1]Projected 2022'!$E$55</f>
        <v>166423.008</v>
      </c>
      <c r="F30" s="8">
        <f>+'[1]Projected 2022'!$F$55</f>
        <v>0</v>
      </c>
      <c r="J30" s="8">
        <f>+'[1]Projected 2022'!$J$55</f>
        <v>14000</v>
      </c>
      <c r="P30" s="8">
        <f>+E30+F30+J30</f>
        <v>180423.008</v>
      </c>
      <c r="Q30" s="10"/>
      <c r="R30" s="8">
        <f>+'[1]Projected 2022'!$Q$55</f>
        <v>20280</v>
      </c>
      <c r="S30" s="10"/>
      <c r="T30" s="8">
        <f>+'[1]Projected 2022'!$R$55</f>
        <v>16923.04</v>
      </c>
      <c r="U30" s="8">
        <f>+'[1]Projected 2022'!$S$55</f>
        <v>112320</v>
      </c>
      <c r="V30" s="8">
        <f>+'[1]Projected 2022'!$T$55</f>
        <v>275426.83999999997</v>
      </c>
      <c r="W30" s="8">
        <f>+V30+U30+T30</f>
        <v>404669.87999999995</v>
      </c>
      <c r="X30" s="10"/>
      <c r="Y30" s="8">
        <f>+B30+C30+P30+R30+W30</f>
        <v>674385.68799999997</v>
      </c>
      <c r="Z30" s="26">
        <v>1.1000000000000001</v>
      </c>
      <c r="AA30" s="27">
        <f>+(Y30-V30)*Z30</f>
        <v>438854.73280000006</v>
      </c>
    </row>
    <row r="31" spans="1:27" ht="15" customHeight="1" x14ac:dyDescent="0.2">
      <c r="A31" s="6" t="s">
        <v>49</v>
      </c>
      <c r="B31" s="8">
        <f>+'[1]Projected 2022'!$C$56</f>
        <v>2299.2840000000001</v>
      </c>
      <c r="C31" s="8">
        <f>+'[1]Projected 2022'!$D$56</f>
        <v>2980.1952000000001</v>
      </c>
      <c r="D31" s="10"/>
      <c r="E31" s="8">
        <f>+'[1]Projected 2022'!$E$56</f>
        <v>12339.755999999999</v>
      </c>
      <c r="F31" s="8">
        <f>+'[1]Projected 2022'!$F$56</f>
        <v>0</v>
      </c>
      <c r="J31" s="8">
        <f>+'[1]Projected 2022'!$J$56</f>
        <v>1071</v>
      </c>
      <c r="P31" s="8">
        <f>+E31+F31+J31</f>
        <v>13410.755999999999</v>
      </c>
      <c r="Q31" s="10"/>
      <c r="R31" s="8">
        <f>+'[1]Projected 2022'!$Q$56</f>
        <v>1551.42</v>
      </c>
      <c r="S31" s="10"/>
      <c r="T31" s="8">
        <f>+'[1]Projected 2022'!$R$56</f>
        <v>1294.61256</v>
      </c>
      <c r="U31" s="8">
        <f>+'[1]Projected 2022'!$S$56</f>
        <v>8592.48</v>
      </c>
      <c r="V31" s="8">
        <f>+'[1]Projected 2022'!$T$56</f>
        <v>21070.153259999995</v>
      </c>
      <c r="W31" s="8">
        <f>+V31+U31+T31</f>
        <v>30957.245819999996</v>
      </c>
      <c r="X31" s="10"/>
      <c r="Y31" s="8">
        <f>+B31+C31+P31+R31+W31</f>
        <v>51198.901019999998</v>
      </c>
      <c r="Z31" s="26"/>
      <c r="AA31" s="27">
        <f>+AA30*Y31/Y30</f>
        <v>33317.551701639539</v>
      </c>
    </row>
    <row r="32" spans="1:27" ht="15" customHeight="1" x14ac:dyDescent="0.2">
      <c r="A32" s="6" t="s">
        <v>50</v>
      </c>
      <c r="D32" s="7"/>
      <c r="E32" s="8">
        <f>+'[1]Projected 2022'!$E$57</f>
        <v>689.59199999999998</v>
      </c>
      <c r="P32" s="8">
        <f>+E32</f>
        <v>689.59199999999998</v>
      </c>
      <c r="Q32" s="7"/>
      <c r="S32" s="7"/>
      <c r="V32" s="8">
        <f>+'[1]Statement of Activity by Class'!S221</f>
        <v>462</v>
      </c>
      <c r="W32" s="8">
        <f>+V32</f>
        <v>462</v>
      </c>
      <c r="X32" s="7"/>
      <c r="Y32" s="8">
        <f>+W32+P32</f>
        <v>1151.5920000000001</v>
      </c>
      <c r="Z32" s="26">
        <v>1.05</v>
      </c>
      <c r="AA32" s="27">
        <f t="shared" ref="AA32:AA38" si="11">+Y32*Z32</f>
        <v>1209.1716000000001</v>
      </c>
    </row>
    <row r="33" spans="1:27" ht="15" customHeight="1" x14ac:dyDescent="0.2">
      <c r="A33" s="6" t="s">
        <v>51</v>
      </c>
      <c r="D33" s="7"/>
      <c r="E33" s="8">
        <f>+'[1]Projected 2022'!$E$61</f>
        <v>59250</v>
      </c>
      <c r="G33" s="8">
        <f>+'[1]Projected 2022'!$G$55</f>
        <v>0</v>
      </c>
      <c r="M33" s="8">
        <f>+'[1]Projected 2022'!$M$61</f>
        <v>0</v>
      </c>
      <c r="N33" s="8">
        <f>+'[1]Projected 2022'!$N$61</f>
        <v>0</v>
      </c>
      <c r="P33" s="8">
        <f>+E33+G33+M33+N33</f>
        <v>59250</v>
      </c>
      <c r="Q33" s="7"/>
      <c r="S33" s="7"/>
      <c r="X33" s="7"/>
      <c r="Y33" s="8">
        <f>+W33+P33</f>
        <v>59250</v>
      </c>
      <c r="Z33" s="26">
        <v>1.1000000000000001</v>
      </c>
      <c r="AA33" s="27">
        <f t="shared" si="11"/>
        <v>65175.000000000007</v>
      </c>
    </row>
    <row r="34" spans="1:27" ht="15" customHeight="1" x14ac:dyDescent="0.2">
      <c r="A34" s="6" t="s">
        <v>52</v>
      </c>
      <c r="D34" s="7"/>
      <c r="E34" s="8">
        <f>+'[1]Projected 2022'!$E$62</f>
        <v>8375.48</v>
      </c>
      <c r="I34" s="8">
        <f>+'[1]Projected 2022'!$I$62</f>
        <v>10835.93</v>
      </c>
      <c r="M34" s="8">
        <f>+'[1]Projected 2022'!$M$62</f>
        <v>17000</v>
      </c>
      <c r="P34" s="8">
        <f>+E34+I34+M34</f>
        <v>36211.410000000003</v>
      </c>
      <c r="Q34" s="7"/>
      <c r="S34" s="7"/>
      <c r="X34" s="7"/>
      <c r="Y34" s="8">
        <f>+W34+P34</f>
        <v>36211.410000000003</v>
      </c>
      <c r="Z34" s="26">
        <v>1.1000000000000001</v>
      </c>
      <c r="AA34" s="27">
        <f t="shared" si="11"/>
        <v>39832.551000000007</v>
      </c>
    </row>
    <row r="35" spans="1:27" ht="15" customHeight="1" x14ac:dyDescent="0.2">
      <c r="A35" s="6" t="s">
        <v>53</v>
      </c>
      <c r="D35" s="7"/>
      <c r="E35" s="8">
        <f>+'[1]Projected 2022'!$E$63</f>
        <v>2095.21</v>
      </c>
      <c r="O35" s="8">
        <f>+'[1]Projected 2022'!$O$63</f>
        <v>346.41</v>
      </c>
      <c r="P35" s="8">
        <f>+O35+E35</f>
        <v>2441.62</v>
      </c>
      <c r="Q35" s="7"/>
      <c r="S35" s="7"/>
      <c r="X35" s="7"/>
      <c r="Y35" s="8">
        <f>+P35</f>
        <v>2441.62</v>
      </c>
      <c r="Z35" s="26">
        <v>1.1000000000000001</v>
      </c>
      <c r="AA35" s="27">
        <f t="shared" si="11"/>
        <v>2685.7820000000002</v>
      </c>
    </row>
    <row r="36" spans="1:27" ht="15" customHeight="1" x14ac:dyDescent="0.2">
      <c r="A36" s="6" t="s">
        <v>54</v>
      </c>
      <c r="B36" s="8">
        <f>+'[1]Projected 2022'!$C$64</f>
        <v>43393.007999999994</v>
      </c>
      <c r="C36" s="8">
        <f>+'[1]Projected 2022'!$D$64</f>
        <v>5031.2</v>
      </c>
      <c r="D36" s="10"/>
      <c r="E36" s="8">
        <f>+'[1]Projected 2022'!$E$64</f>
        <v>4121.4960000000001</v>
      </c>
      <c r="F36" s="8" t="str">
        <f>+'[1]Statement of Activity by Class'!E228</f>
        <v xml:space="preserve"> </v>
      </c>
      <c r="G36" s="8" t="str">
        <f>+'[1]Statement of Activity by Class'!F228</f>
        <v xml:space="preserve"> </v>
      </c>
      <c r="H36" s="8" t="str">
        <f>+'[1]Statement of Activity by Class'!G228</f>
        <v xml:space="preserve"> </v>
      </c>
      <c r="I36" s="8" t="str">
        <f>+'[1]Statement of Activity by Class'!H228</f>
        <v xml:space="preserve"> </v>
      </c>
      <c r="J36" s="8" t="str">
        <f>+'[1]Statement of Activity by Class'!I228</f>
        <v xml:space="preserve"> </v>
      </c>
      <c r="K36" s="8" t="str">
        <f>+'[1]Statement of Activity by Class'!J228</f>
        <v xml:space="preserve"> </v>
      </c>
      <c r="L36" s="8" t="str">
        <f>+'[1]Statement of Activity by Class'!K228</f>
        <v xml:space="preserve"> </v>
      </c>
      <c r="M36" s="8">
        <f>+'[1]Projected 2022'!$M$64</f>
        <v>11008.8</v>
      </c>
      <c r="N36" s="8" t="str">
        <f>+'[1]Statement of Activity by Class'!M228</f>
        <v xml:space="preserve"> </v>
      </c>
      <c r="O36" s="8" t="str">
        <f>+'[1]Statement of Activity by Class'!N228</f>
        <v xml:space="preserve"> </v>
      </c>
      <c r="P36" s="8">
        <f>+'[1]Statement of Activity by Class'!O228</f>
        <v>15130.296</v>
      </c>
      <c r="Q36" s="10"/>
      <c r="R36" s="8">
        <f>+'[1]Projected 2022'!$Q$64</f>
        <v>7500</v>
      </c>
      <c r="S36" s="10"/>
      <c r="T36" s="8" t="str">
        <f>+'[1]Statement of Activity by Class'!Q228</f>
        <v xml:space="preserve"> </v>
      </c>
      <c r="U36" s="8">
        <f>+'[1]Projected 2022'!$S$64</f>
        <v>500</v>
      </c>
      <c r="V36" s="8">
        <f>+'[1]Projected 2022'!$T$64</f>
        <v>5000</v>
      </c>
      <c r="W36" s="8">
        <f>+V36+U36</f>
        <v>5500</v>
      </c>
      <c r="X36" s="10"/>
      <c r="Y36" s="8">
        <f>+B36+C36+P36+R36+W36</f>
        <v>76554.503999999986</v>
      </c>
      <c r="Z36" s="26">
        <v>1.2</v>
      </c>
      <c r="AA36" s="27">
        <f>+(Y36-V36)*Z36</f>
        <v>85865.404799999975</v>
      </c>
    </row>
    <row r="37" spans="1:27" ht="15" customHeight="1" x14ac:dyDescent="0.2">
      <c r="A37" s="6" t="s">
        <v>55</v>
      </c>
      <c r="B37" s="8">
        <f>+'[1]Projected 2022'!$C$65</f>
        <v>50.052</v>
      </c>
      <c r="C37" s="8">
        <f>+'[1]Projected 2022'!$D$65</f>
        <v>644.23199999999997</v>
      </c>
      <c r="D37" s="10"/>
      <c r="Q37" s="10"/>
      <c r="S37" s="10"/>
      <c r="X37" s="10"/>
      <c r="Y37" s="8">
        <f>+B37+C37+P37+R37+W37</f>
        <v>694.28399999999999</v>
      </c>
      <c r="Z37" s="26">
        <v>1.05</v>
      </c>
      <c r="AA37" s="27">
        <f t="shared" si="11"/>
        <v>728.9982</v>
      </c>
    </row>
    <row r="38" spans="1:27" ht="15" customHeight="1" x14ac:dyDescent="0.2">
      <c r="A38" s="6" t="s">
        <v>56</v>
      </c>
      <c r="B38" s="8">
        <f>+'[1]Projected 2022'!$C$66</f>
        <v>5075.7</v>
      </c>
      <c r="C38" s="8">
        <f>+'[1]Projected 2022'!$D$66</f>
        <v>292.62</v>
      </c>
      <c r="D38" s="10"/>
      <c r="Q38" s="10"/>
      <c r="S38" s="10"/>
      <c r="U38" s="8">
        <f>+'[1]Projected 2022'!$S$66</f>
        <v>2113.7399999999998</v>
      </c>
      <c r="W38" s="8">
        <f>+U38</f>
        <v>2113.7399999999998</v>
      </c>
      <c r="X38" s="10"/>
      <c r="Y38" s="8">
        <f>+B38+C38+P38+R38+W38</f>
        <v>7482.0599999999995</v>
      </c>
      <c r="Z38" s="26">
        <v>1.1000000000000001</v>
      </c>
      <c r="AA38" s="27">
        <f t="shared" si="11"/>
        <v>8230.2659999999996</v>
      </c>
    </row>
    <row r="39" spans="1:27" ht="15" customHeight="1" x14ac:dyDescent="0.2">
      <c r="A39" s="6" t="s">
        <v>57</v>
      </c>
      <c r="B39" s="8" t="str">
        <f>+'[1]Statement of Activity by Class'!B234</f>
        <v xml:space="preserve"> </v>
      </c>
      <c r="C39" s="8">
        <f>+'[1]Projected 2022'!$D$67</f>
        <v>191.03</v>
      </c>
      <c r="D39" s="10"/>
      <c r="E39" s="8">
        <f>+'[1]Projected 2022'!$E$70</f>
        <v>2308.15</v>
      </c>
      <c r="H39" s="8">
        <f>+'[1]Projected 2022'!$H$78</f>
        <v>0</v>
      </c>
      <c r="K39" s="8">
        <f>+'[1]Projected 2022'!$K$70</f>
        <v>1020.18</v>
      </c>
      <c r="P39" s="8">
        <f>+E39+H39+K39</f>
        <v>3328.33</v>
      </c>
      <c r="Q39" s="10"/>
      <c r="R39" s="8">
        <f>+'[1]Projected 2022'!$Q$70</f>
        <v>7.05</v>
      </c>
      <c r="S39" s="10"/>
      <c r="U39" s="8">
        <f>+'[1]Projected 2022'!$S$70</f>
        <v>14450.144</v>
      </c>
      <c r="V39" s="8">
        <f>+'[1]Projected 2022'!$T$70</f>
        <v>201976.98800000001</v>
      </c>
      <c r="W39" s="8">
        <f>+V39+U39</f>
        <v>216427.13200000001</v>
      </c>
      <c r="X39" s="10"/>
      <c r="Y39" s="8">
        <f>+C39+P39+R39+W39</f>
        <v>219953.54200000002</v>
      </c>
      <c r="Z39" s="26">
        <v>1.1000000000000001</v>
      </c>
      <c r="AA39" s="27">
        <f>+(Y39-V39)*Z39</f>
        <v>19774.209400000007</v>
      </c>
    </row>
    <row r="40" spans="1:27" ht="15" customHeight="1" x14ac:dyDescent="0.2">
      <c r="A40" s="6" t="s">
        <v>58</v>
      </c>
      <c r="D40" s="7"/>
      <c r="E40" s="8">
        <f>+'[1]Projected 2022'!$E$71</f>
        <v>250</v>
      </c>
      <c r="P40" s="8">
        <f>+E40+H40+K40</f>
        <v>250</v>
      </c>
      <c r="Q40" s="7"/>
      <c r="R40" s="8">
        <f>+'[1]Projected 2022'!$Q$71</f>
        <v>200</v>
      </c>
      <c r="S40" s="7"/>
      <c r="U40" s="8">
        <f>+'[1]Projected 2022'!$S$71</f>
        <v>400</v>
      </c>
      <c r="V40" s="8">
        <f>+'[1]Projected 2022'!$T$71</f>
        <v>12000</v>
      </c>
      <c r="W40" s="8">
        <f>+V40+U40</f>
        <v>12400</v>
      </c>
      <c r="X40" s="7"/>
      <c r="Y40" s="8">
        <f>+C40+P40+R40+W40</f>
        <v>12850</v>
      </c>
      <c r="Z40" s="26">
        <v>1.05</v>
      </c>
      <c r="AA40" s="27">
        <f>+Y40*Z40</f>
        <v>13492.5</v>
      </c>
    </row>
    <row r="41" spans="1:27" ht="15" customHeight="1" x14ac:dyDescent="0.2">
      <c r="A41" s="6" t="s">
        <v>59</v>
      </c>
      <c r="B41" s="13">
        <f>+'[1]Projected 2022'!$C$72</f>
        <v>28297.0458</v>
      </c>
      <c r="C41" s="13">
        <f>+'[1]Projected 2022'!$D$74</f>
        <v>6562.3071600000003</v>
      </c>
      <c r="D41" s="15"/>
      <c r="E41" s="13">
        <f>+'[1]Projected 2022'!$E$74</f>
        <v>23996.570119999997</v>
      </c>
      <c r="F41" s="11"/>
      <c r="G41" s="11"/>
      <c r="H41" s="11"/>
      <c r="I41" s="11"/>
      <c r="J41" s="11"/>
      <c r="K41" s="11"/>
      <c r="L41" s="11"/>
      <c r="M41" s="13">
        <f>+'[1]Projected 2022'!$M$74</f>
        <v>12760.14264</v>
      </c>
      <c r="N41" s="11"/>
      <c r="O41" s="11"/>
      <c r="P41" s="13">
        <f>+E41+M41</f>
        <v>36756.712759999995</v>
      </c>
      <c r="Q41" s="15"/>
      <c r="R41" s="13">
        <f>+'[1]Projected 2022'!$Q$74</f>
        <v>2567.33268</v>
      </c>
      <c r="S41" s="15"/>
      <c r="T41" s="11"/>
      <c r="U41" s="13">
        <f>+'[1]Projected 2022'!$S$74</f>
        <v>2890.4107200000003</v>
      </c>
      <c r="V41" s="13">
        <f>+'[1]Projected 2022'!$T$74</f>
        <v>5512.8483999999999</v>
      </c>
      <c r="W41" s="13">
        <f>+V41+U41</f>
        <v>8403.2591200000006</v>
      </c>
      <c r="X41" s="15"/>
      <c r="Y41" s="13">
        <f>+B41+C41+P41+R41+W41</f>
        <v>82586.657520000008</v>
      </c>
      <c r="Z41" s="26">
        <v>1.2</v>
      </c>
      <c r="AA41" s="28">
        <f>+(Y41-V41)*Z41</f>
        <v>92488.570944000006</v>
      </c>
    </row>
    <row r="42" spans="1:27" ht="15" customHeight="1" x14ac:dyDescent="0.2">
      <c r="A42" s="6" t="s">
        <v>60</v>
      </c>
      <c r="B42" s="19">
        <f>SUM(B16:B24)+SUM(B26:B41)</f>
        <v>114782.9938</v>
      </c>
      <c r="C42" s="19">
        <f t="shared" ref="C42:W42" si="12">SUM(C16:C24)+SUM(C26:C41)</f>
        <v>76862.926360000012</v>
      </c>
      <c r="D42" s="20"/>
      <c r="E42" s="19">
        <f t="shared" si="12"/>
        <v>276400.43011999998</v>
      </c>
      <c r="F42" s="19">
        <f t="shared" si="12"/>
        <v>0</v>
      </c>
      <c r="G42" s="19">
        <f t="shared" si="12"/>
        <v>0</v>
      </c>
      <c r="H42" s="19">
        <f t="shared" si="12"/>
        <v>0</v>
      </c>
      <c r="I42" s="19">
        <f t="shared" si="12"/>
        <v>10835.93</v>
      </c>
      <c r="J42" s="19">
        <f t="shared" si="12"/>
        <v>15071</v>
      </c>
      <c r="K42" s="19">
        <f t="shared" si="12"/>
        <v>1020.18</v>
      </c>
      <c r="L42" s="19">
        <f t="shared" si="12"/>
        <v>21500</v>
      </c>
      <c r="M42" s="19">
        <f t="shared" si="12"/>
        <v>63864.942640000001</v>
      </c>
      <c r="N42" s="19">
        <f t="shared" si="12"/>
        <v>0</v>
      </c>
      <c r="O42" s="19">
        <f t="shared" si="12"/>
        <v>346.41</v>
      </c>
      <c r="P42" s="19">
        <f t="shared" si="12"/>
        <v>389038.89275999996</v>
      </c>
      <c r="Q42" s="20"/>
      <c r="R42" s="19">
        <f t="shared" si="12"/>
        <v>82427.970679999999</v>
      </c>
      <c r="S42" s="20"/>
      <c r="T42" s="19">
        <f t="shared" si="12"/>
        <v>22258.652560000002</v>
      </c>
      <c r="U42" s="19">
        <f t="shared" si="12"/>
        <v>150134.95072000002</v>
      </c>
      <c r="V42" s="19">
        <f t="shared" si="12"/>
        <v>552121.90966</v>
      </c>
      <c r="W42" s="19">
        <f t="shared" si="12"/>
        <v>724515.51293999993</v>
      </c>
      <c r="X42" s="20"/>
      <c r="Y42" s="19">
        <f>SUM(Y16:Y24)+SUM(Y26:Y41)</f>
        <v>1387628.29654</v>
      </c>
      <c r="Z42" s="26"/>
      <c r="AA42" s="19">
        <f>SUM(AA16:AA24)+SUM(AA26:AA41)</f>
        <v>980557.16924563982</v>
      </c>
    </row>
    <row r="43" spans="1:27" ht="15" customHeight="1" x14ac:dyDescent="0.2">
      <c r="A43" s="6" t="s">
        <v>61</v>
      </c>
      <c r="B43" s="8">
        <f>+B14-B42</f>
        <v>-67110.218800000002</v>
      </c>
      <c r="C43" s="8">
        <f t="shared" ref="C43:Y43" si="13">+C14-C42</f>
        <v>121319.70463999998</v>
      </c>
      <c r="D43" s="10"/>
      <c r="E43" s="8">
        <f t="shared" si="13"/>
        <v>-231957.04011999999</v>
      </c>
      <c r="F43" s="8">
        <f t="shared" si="13"/>
        <v>0</v>
      </c>
      <c r="G43" s="8">
        <f t="shared" si="13"/>
        <v>0</v>
      </c>
      <c r="H43" s="8">
        <f t="shared" si="13"/>
        <v>0</v>
      </c>
      <c r="I43" s="8">
        <f t="shared" si="13"/>
        <v>0</v>
      </c>
      <c r="J43" s="8">
        <f t="shared" si="13"/>
        <v>-1071</v>
      </c>
      <c r="K43" s="8">
        <f t="shared" si="13"/>
        <v>0</v>
      </c>
      <c r="L43" s="8">
        <f t="shared" si="13"/>
        <v>0</v>
      </c>
      <c r="M43" s="8">
        <f t="shared" si="13"/>
        <v>6135.0573599999989</v>
      </c>
      <c r="N43" s="8">
        <f t="shared" si="13"/>
        <v>0</v>
      </c>
      <c r="O43" s="8">
        <f t="shared" si="13"/>
        <v>2313.5100000000002</v>
      </c>
      <c r="P43" s="8">
        <f t="shared" si="13"/>
        <v>-224579.47275999998</v>
      </c>
      <c r="Q43" s="10"/>
      <c r="R43" s="8">
        <f t="shared" si="13"/>
        <v>-82427.970679999999</v>
      </c>
      <c r="S43" s="10"/>
      <c r="T43" s="8">
        <f t="shared" si="13"/>
        <v>-22258.652560000002</v>
      </c>
      <c r="U43" s="8">
        <f t="shared" si="13"/>
        <v>-42260.230720000021</v>
      </c>
      <c r="V43" s="8">
        <f t="shared" si="13"/>
        <v>-0.3596599999582395</v>
      </c>
      <c r="W43" s="8">
        <f>+V43+U43+T43</f>
        <v>-64519.242939999982</v>
      </c>
      <c r="X43" s="10"/>
      <c r="Y43" s="8">
        <f t="shared" si="13"/>
        <v>-317317.20054000011</v>
      </c>
      <c r="Z43" s="26"/>
      <c r="AA43" s="8">
        <f t="shared" ref="AA43" si="14">+AA14-AA42</f>
        <v>-412797.6771956397</v>
      </c>
    </row>
    <row r="44" spans="1:27" ht="15" customHeight="1" x14ac:dyDescent="0.2">
      <c r="A44" s="6" t="s">
        <v>62</v>
      </c>
      <c r="D44" s="7"/>
      <c r="Q44" s="7"/>
      <c r="S44" s="7"/>
      <c r="X44" s="7"/>
      <c r="Z44" s="26"/>
      <c r="AA44" s="27"/>
    </row>
    <row r="45" spans="1:27" ht="15" customHeight="1" x14ac:dyDescent="0.2">
      <c r="A45" s="6" t="s">
        <v>63</v>
      </c>
      <c r="C45" s="8">
        <f>+'[1]Projected 2022'!$D$80</f>
        <v>0</v>
      </c>
      <c r="D45" s="10"/>
      <c r="E45" s="8">
        <f>+'[1]Projected 2022'!$E$78</f>
        <v>0</v>
      </c>
      <c r="P45" s="8">
        <f>SUM(E45:O45)</f>
        <v>0</v>
      </c>
      <c r="Q45" s="10"/>
      <c r="S45" s="10"/>
      <c r="X45" s="10"/>
      <c r="Y45" s="8">
        <f>+C45+P45</f>
        <v>0</v>
      </c>
      <c r="Z45" s="26"/>
      <c r="AA45" s="27"/>
    </row>
    <row r="46" spans="1:27" ht="15" customHeight="1" x14ac:dyDescent="0.2">
      <c r="A46" s="6" t="s">
        <v>64</v>
      </c>
      <c r="B46" s="11"/>
      <c r="C46" s="11"/>
      <c r="D46" s="12"/>
      <c r="E46" s="13"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>
        <f>SUM(E46:O46)</f>
        <v>0</v>
      </c>
      <c r="Q46" s="12"/>
      <c r="R46" s="11"/>
      <c r="S46" s="12"/>
      <c r="T46" s="11"/>
      <c r="U46" s="11"/>
      <c r="V46" s="11"/>
      <c r="W46" s="11"/>
      <c r="X46" s="12"/>
      <c r="Y46" s="13">
        <f>+P46</f>
        <v>0</v>
      </c>
      <c r="Z46" s="26"/>
      <c r="AA46" s="28"/>
    </row>
    <row r="47" spans="1:27" ht="15" customHeight="1" x14ac:dyDescent="0.2">
      <c r="A47" s="6" t="s">
        <v>65</v>
      </c>
      <c r="C47" s="8">
        <f>SUM(C45:C46)</f>
        <v>0</v>
      </c>
      <c r="D47" s="10"/>
      <c r="E47" s="8">
        <f>SUM(E45:E46)</f>
        <v>0</v>
      </c>
      <c r="P47" s="8">
        <f>SUM(E47:O47)</f>
        <v>0</v>
      </c>
      <c r="Q47" s="10"/>
      <c r="S47" s="10"/>
      <c r="X47" s="10"/>
      <c r="Y47" s="8">
        <f>+Y45+Y46</f>
        <v>0</v>
      </c>
      <c r="Z47" s="26"/>
      <c r="AA47" s="19"/>
    </row>
    <row r="48" spans="1:27" ht="15" customHeight="1" x14ac:dyDescent="0.2">
      <c r="A48" s="6" t="s">
        <v>66</v>
      </c>
      <c r="B48" s="21"/>
      <c r="C48" s="16">
        <f>+C47</f>
        <v>0</v>
      </c>
      <c r="D48" s="17"/>
      <c r="E48" s="16">
        <f>+E47</f>
        <v>0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6">
        <f>+P47</f>
        <v>0</v>
      </c>
      <c r="Q48" s="17"/>
      <c r="R48" s="21"/>
      <c r="S48" s="17"/>
      <c r="T48" s="21"/>
      <c r="U48" s="21"/>
      <c r="V48" s="21"/>
      <c r="W48" s="21"/>
      <c r="X48" s="17"/>
      <c r="Y48" s="16">
        <f>+Y47</f>
        <v>0</v>
      </c>
      <c r="Z48" s="26"/>
      <c r="AA48" s="19"/>
    </row>
    <row r="49" spans="1:27" ht="15" customHeight="1" x14ac:dyDescent="0.2">
      <c r="A49" s="6" t="s">
        <v>67</v>
      </c>
      <c r="B49" s="16">
        <f>+B43+B48</f>
        <v>-67110.218800000002</v>
      </c>
      <c r="C49" s="16">
        <f t="shared" ref="C49:Y49" si="15">+C43+C48</f>
        <v>121319.70463999998</v>
      </c>
      <c r="D49" s="17"/>
      <c r="E49" s="16">
        <f t="shared" si="15"/>
        <v>-231957.04011999999</v>
      </c>
      <c r="F49" s="16">
        <f t="shared" si="15"/>
        <v>0</v>
      </c>
      <c r="G49" s="16">
        <f t="shared" si="15"/>
        <v>0</v>
      </c>
      <c r="H49" s="16">
        <f t="shared" si="15"/>
        <v>0</v>
      </c>
      <c r="I49" s="16">
        <f t="shared" si="15"/>
        <v>0</v>
      </c>
      <c r="J49" s="16">
        <f t="shared" si="15"/>
        <v>-1071</v>
      </c>
      <c r="K49" s="16">
        <f t="shared" si="15"/>
        <v>0</v>
      </c>
      <c r="L49" s="16">
        <f t="shared" si="15"/>
        <v>0</v>
      </c>
      <c r="M49" s="16">
        <f t="shared" si="15"/>
        <v>6135.0573599999989</v>
      </c>
      <c r="N49" s="16">
        <f t="shared" si="15"/>
        <v>0</v>
      </c>
      <c r="O49" s="16">
        <f t="shared" si="15"/>
        <v>2313.5100000000002</v>
      </c>
      <c r="P49" s="16">
        <f t="shared" si="15"/>
        <v>-224579.47275999998</v>
      </c>
      <c r="Q49" s="17"/>
      <c r="R49" s="16">
        <f t="shared" si="15"/>
        <v>-82427.970679999999</v>
      </c>
      <c r="S49" s="17"/>
      <c r="T49" s="16">
        <f t="shared" si="15"/>
        <v>-22258.652560000002</v>
      </c>
      <c r="U49" s="16">
        <f t="shared" si="15"/>
        <v>-42260.230720000021</v>
      </c>
      <c r="V49" s="16">
        <f t="shared" si="15"/>
        <v>-0.3596599999582395</v>
      </c>
      <c r="W49" s="16">
        <f t="shared" si="15"/>
        <v>-64519.242939999982</v>
      </c>
      <c r="X49" s="17"/>
      <c r="Y49" s="16">
        <f t="shared" si="15"/>
        <v>-317317.20054000011</v>
      </c>
      <c r="Z49" s="26"/>
      <c r="AA49" s="16">
        <f t="shared" ref="AA49" si="16">+AA43+AA48</f>
        <v>-412797.6771956397</v>
      </c>
    </row>
    <row r="50" spans="1:27" ht="15" customHeight="1" x14ac:dyDescent="0.2">
      <c r="A50" s="22" t="s">
        <v>68</v>
      </c>
      <c r="D50" s="7"/>
      <c r="E50" s="8">
        <f>+'[1]Projected 2022'!$E$83</f>
        <v>-257209</v>
      </c>
      <c r="P50" s="8">
        <f>+E50</f>
        <v>-257209</v>
      </c>
      <c r="Q50" s="7"/>
      <c r="S50" s="7"/>
      <c r="X50" s="7"/>
      <c r="Y50" s="8">
        <f>+P50</f>
        <v>-257209</v>
      </c>
      <c r="Z50" s="26"/>
      <c r="AA50" s="8">
        <f>+Y50</f>
        <v>-257209</v>
      </c>
    </row>
    <row r="51" spans="1:27" ht="15" customHeight="1" thickBot="1" x14ac:dyDescent="0.25">
      <c r="A51" s="6" t="s">
        <v>69</v>
      </c>
      <c r="B51" s="23">
        <f>+B49+B50</f>
        <v>-67110.218800000002</v>
      </c>
      <c r="C51" s="23">
        <f t="shared" ref="C51:Y51" si="17">+C49+C50</f>
        <v>121319.70463999998</v>
      </c>
      <c r="D51" s="24"/>
      <c r="E51" s="23">
        <f t="shared" si="17"/>
        <v>-489166.04012000002</v>
      </c>
      <c r="F51" s="23">
        <f t="shared" si="17"/>
        <v>0</v>
      </c>
      <c r="G51" s="23">
        <f t="shared" si="17"/>
        <v>0</v>
      </c>
      <c r="H51" s="23">
        <f t="shared" si="17"/>
        <v>0</v>
      </c>
      <c r="I51" s="23">
        <f t="shared" si="17"/>
        <v>0</v>
      </c>
      <c r="J51" s="23">
        <f t="shared" si="17"/>
        <v>-1071</v>
      </c>
      <c r="K51" s="23">
        <f t="shared" si="17"/>
        <v>0</v>
      </c>
      <c r="L51" s="23">
        <f t="shared" si="17"/>
        <v>0</v>
      </c>
      <c r="M51" s="23">
        <f t="shared" si="17"/>
        <v>6135.0573599999989</v>
      </c>
      <c r="N51" s="23">
        <f t="shared" si="17"/>
        <v>0</v>
      </c>
      <c r="O51" s="23">
        <f t="shared" si="17"/>
        <v>2313.5100000000002</v>
      </c>
      <c r="P51" s="23">
        <f t="shared" si="17"/>
        <v>-481788.47275999998</v>
      </c>
      <c r="Q51" s="24"/>
      <c r="R51" s="23">
        <f t="shared" si="17"/>
        <v>-82427.970679999999</v>
      </c>
      <c r="S51" s="24"/>
      <c r="T51" s="23">
        <f t="shared" si="17"/>
        <v>-22258.652560000002</v>
      </c>
      <c r="U51" s="23">
        <f t="shared" si="17"/>
        <v>-42260.230720000021</v>
      </c>
      <c r="V51" s="23">
        <f t="shared" si="17"/>
        <v>-0.3596599999582395</v>
      </c>
      <c r="W51" s="23">
        <f t="shared" si="17"/>
        <v>-64519.242939999982</v>
      </c>
      <c r="X51" s="24"/>
      <c r="Y51" s="23">
        <f t="shared" si="17"/>
        <v>-574526.20054000011</v>
      </c>
      <c r="Z51" s="26"/>
      <c r="AA51" s="23">
        <f t="shared" ref="AA51" si="18">+AA49+AA50</f>
        <v>-670006.6771956397</v>
      </c>
    </row>
    <row r="52" spans="1:27" ht="15" customHeight="1" thickTop="1" x14ac:dyDescent="0.2"/>
    <row r="53" spans="1:27" ht="36" x14ac:dyDescent="0.2">
      <c r="B53" s="4" t="s">
        <v>2</v>
      </c>
      <c r="C53" s="4" t="s">
        <v>3</v>
      </c>
      <c r="D53" s="5"/>
      <c r="E53" s="4" t="s">
        <v>4</v>
      </c>
      <c r="F53" s="4" t="s">
        <v>5</v>
      </c>
      <c r="G53" s="4" t="s">
        <v>6</v>
      </c>
      <c r="H53" s="4" t="s">
        <v>7</v>
      </c>
      <c r="I53" s="4" t="s">
        <v>8</v>
      </c>
      <c r="J53" s="4" t="s">
        <v>9</v>
      </c>
      <c r="K53" s="4" t="s">
        <v>10</v>
      </c>
      <c r="L53" s="4" t="s">
        <v>11</v>
      </c>
      <c r="M53" s="4" t="s">
        <v>12</v>
      </c>
      <c r="N53" s="4" t="s">
        <v>13</v>
      </c>
      <c r="O53" s="4" t="s">
        <v>14</v>
      </c>
      <c r="P53" s="4" t="s">
        <v>15</v>
      </c>
      <c r="Q53" s="5"/>
      <c r="R53" s="4" t="s">
        <v>16</v>
      </c>
      <c r="S53" s="5"/>
      <c r="T53" s="4" t="s">
        <v>17</v>
      </c>
      <c r="U53" s="4" t="s">
        <v>18</v>
      </c>
      <c r="V53" s="4" t="s">
        <v>19</v>
      </c>
      <c r="W53" s="4" t="s">
        <v>20</v>
      </c>
      <c r="X53" s="5"/>
      <c r="Y53" s="4" t="s">
        <v>21</v>
      </c>
    </row>
  </sheetData>
  <printOptions gridLines="1"/>
  <pageMargins left="0" right="0" top="0" bottom="0" header="0" footer="0"/>
  <pageSetup scale="53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C16EFF00E8A469E3DCB392156FB39" ma:contentTypeVersion="4" ma:contentTypeDescription="Create a new document." ma:contentTypeScope="" ma:versionID="88fdf33731340b2bf6998daefcde715a">
  <xsd:schema xmlns:xsd="http://www.w3.org/2001/XMLSchema" xmlns:xs="http://www.w3.org/2001/XMLSchema" xmlns:p="http://schemas.microsoft.com/office/2006/metadata/properties" xmlns:ns2="486d82b9-5834-404a-811b-3dc887500164" targetNamespace="http://schemas.microsoft.com/office/2006/metadata/properties" ma:root="true" ma:fieldsID="e190ab81d326e5c974fe91384fb5074c" ns2:_="">
    <xsd:import namespace="486d82b9-5834-404a-811b-3dc887500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d82b9-5834-404a-811b-3dc887500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195A77-79B3-4E78-A6EE-91BEF72C1E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ECF31B-410C-4AAE-B032-8F206CD884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d82b9-5834-404a-811b-3dc887500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A947F7-5F0E-4917-97B8-D96E750EB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Kenyon</dc:creator>
  <cp:keywords/>
  <dc:description/>
  <cp:lastModifiedBy>Annette</cp:lastModifiedBy>
  <cp:revision/>
  <dcterms:created xsi:type="dcterms:W3CDTF">2021-12-08T15:59:33Z</dcterms:created>
  <dcterms:modified xsi:type="dcterms:W3CDTF">2022-10-13T15:43:04Z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0x010100433C16EFF00E8A469E3DCB392156FB39</vt:lpwstr>
  </property>
</Properties>
</file>